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8635" windowHeight="13320" activeTab="0"/>
  </bookViews>
  <sheets>
    <sheet name="Cover" sheetId="1" r:id="rId1"/>
    <sheet name="Contents" sheetId="2" r:id="rId2"/>
    <sheet name="Overview_SC" sheetId="3" r:id="rId3"/>
    <sheet name="Notes_SSC" sheetId="4" r:id="rId4"/>
    <sheet name="Linked_Workbooks_Diagram_MS" sheetId="5" r:id="rId5"/>
    <sheet name="Assumptions_SC" sheetId="6" r:id="rId6"/>
    <sheet name="TS_Ass_SSC" sheetId="7" r:id="rId7"/>
    <sheet name="TS_BA" sheetId="8" r:id="rId8"/>
    <sheet name="Fcast_Ass_SSC" sheetId="9" r:id="rId9"/>
    <sheet name="Fcast_TA" sheetId="10" r:id="rId10"/>
    <sheet name="Base_OP_SC" sheetId="11" r:id="rId11"/>
    <sheet name="Fcast_OP_SSC" sheetId="12" r:id="rId12"/>
    <sheet name="Fcast_TO" sheetId="13" r:id="rId13"/>
    <sheet name="Appendices_SC" sheetId="14" r:id="rId14"/>
    <sheet name="Model_Exports_SSC" sheetId="15" r:id="rId15"/>
    <sheet name="Model_Exports_ME_TO" sheetId="16" r:id="rId16"/>
    <sheet name="Checks_SSC" sheetId="17" r:id="rId17"/>
    <sheet name="Checks_BO" sheetId="18" r:id="rId18"/>
    <sheet name="LU_SSC" sheetId="19" r:id="rId19"/>
    <sheet name="TS_LU" sheetId="20" r:id="rId20"/>
  </sheets>
  <definedNames>
    <definedName name="Alt_Chk_1_Hdg" hidden="1">'Fcast_TA'!$B$16</definedName>
    <definedName name="Alt_Chk_4_Hdg" hidden="1">'Fcast_TO'!$B$16</definedName>
    <definedName name="Alt_Chks_Msg">'Checks_BO'!$I$52</definedName>
    <definedName name="Alt_Chks_Ttl_Areas">'Checks_BO'!$M$58</definedName>
    <definedName name="Annual">'TS_LU'!$D$77</definedName>
    <definedName name="BA_Alt_Chks" hidden="1">'Checks_BO'!$43:$58</definedName>
    <definedName name="BA_Err_Chks" hidden="1">'Checks_BO'!$5:$26</definedName>
    <definedName name="BA_LU" hidden="1">'TS_LU'!$5:$105</definedName>
    <definedName name="BA_Sens_Chks" hidden="1">'Checks_BO'!$27:$42</definedName>
    <definedName name="BA_TS_Ass" hidden="1">'TS_BA'!$5:$65</definedName>
    <definedName name="Billion">'TS_LU'!$D$105</definedName>
    <definedName name="Billions">'TS_LU'!$D$63</definedName>
    <definedName name="BPM_TC_1" hidden="1">'Cover'!$C$23</definedName>
    <definedName name="BPM_TC_2" hidden="1">'Contents'!$D$26</definedName>
    <definedName name="BPM_TC_3" hidden="1">'Linked_Workbooks_Diagram_MS'!$V$7</definedName>
    <definedName name="BPM_TC_4" hidden="1">'Model_Exports_SSC'!$C$9</definedName>
    <definedName name="BPM_TC_5" hidden="1">'Model_Exports_ME_TO'!$B$16</definedName>
    <definedName name="BPM_TC_6" hidden="1">'Model_Exports_ME_TO'!$J$18</definedName>
    <definedName name="BPM_TC_7" hidden="1">'Model_Exports_ME_TO'!$J$29</definedName>
    <definedName name="CA_Alt_Chks">'Checks_BO'!$K$57:$K$57</definedName>
    <definedName name="CA_Alt_Chks_Area_Names">'Checks_BO'!$D$57:$D$57</definedName>
    <definedName name="CA_Alt_Chks_Flags">'Checks_BO'!$M$57:$M$57</definedName>
    <definedName name="CA_Alt_Chks_Inc">'Checks_BO'!$L$57:$L$57</definedName>
    <definedName name="CA_Err_Chks">'Checks_BO'!$K$20:$K$24</definedName>
    <definedName name="CA_Err_Chks_Area_Names">'Checks_BO'!$D$20:$D$24</definedName>
    <definedName name="CA_Err_Chks_Flags">'Checks_BO'!$M$20:$M$24</definedName>
    <definedName name="CA_Err_Chks_Inc">'Checks_BO'!$L$20:$L$24</definedName>
    <definedName name="CA_Sens_Chks">'Checks_BO'!$K$41:$K$41</definedName>
    <definedName name="CA_Sens_Chks_Area_Names">'Checks_BO'!$D$41:$D$41</definedName>
    <definedName name="CA_Sens_Chks_Flags">'Checks_BO'!$M$41:$M$41</definedName>
    <definedName name="CA_Sens_Chks_Inc">'Checks_BO'!$L$41:$L$41</definedName>
    <definedName name="CB_Alt_Chks_Show_Msg">'Checks_BO'!$C$47</definedName>
    <definedName name="CB_Err_Chks_Show_Msg">'Checks_BO'!$C$9</definedName>
    <definedName name="CB_Sens_Chks_Show_Msg">'Checks_BO'!$C$31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'Fcast_TA'!$B$29</definedName>
    <definedName name="Err_Chk_2_Hdg" hidden="1">'Fcast_TO'!$C$27</definedName>
    <definedName name="Err_Chk_3_Hdg" hidden="1">'Fcast_TO'!$C$44</definedName>
    <definedName name="Err_Chk_4_Hdg" hidden="1">'Fcast_TO'!$C$64</definedName>
    <definedName name="Err_Chk_5_Hdg" hidden="1">'Fcast_TO'!$C$76</definedName>
    <definedName name="Err_Chks_Msg">'Checks_BO'!$I$14</definedName>
    <definedName name="Err_Chks_Ttl_Areas">'Checks_BO'!$M$26</definedName>
    <definedName name="Half_Yr_Name">'TS_LU'!$D$86</definedName>
    <definedName name="Halves_In_Yr">'TS_LU'!$D$94</definedName>
    <definedName name="HL_Alt_Chk">'Checks_BO'!$B$45</definedName>
    <definedName name="HL_Err_Chk">'Checks_BO'!$B$7</definedName>
    <definedName name="HL_Err_Chk_1" hidden="1">'Fcast_TA'!$I$34</definedName>
    <definedName name="HL_Err_Chk_2" hidden="1">'Fcast_TO'!$I$42</definedName>
    <definedName name="HL_Err_Chk_3" hidden="1">'Fcast_TO'!$I$59</definedName>
    <definedName name="HL_Err_Chk_4" hidden="1">'Fcast_TO'!$I$74</definedName>
    <definedName name="HL_Err_Chk_5" hidden="1">'Fcast_TO'!$I$86</definedName>
    <definedName name="HL_Home">'Contents'!$B$1</definedName>
    <definedName name="HL_Sens_Chk">'Checks_BO'!$B$29</definedName>
    <definedName name="HL_Sheet_Main" hidden="1">'Linked_Workbooks_Diagram_MS'!$A$1</definedName>
    <definedName name="HL_Sheet_Main_10" hidden="1">'TS_BA'!$A$1</definedName>
    <definedName name="HL_Sheet_Main_11" hidden="1">'Assumptions_SC'!$A$1</definedName>
    <definedName name="HL_Sheet_Main_12" hidden="1">'Fcast_TA'!$A$1</definedName>
    <definedName name="HL_Sheet_Main_13" hidden="1">'Checks_SSC'!$A$1</definedName>
    <definedName name="HL_Sheet_Main_14" hidden="1">'Checks_BO'!$A$1</definedName>
    <definedName name="HL_Sheet_Main_15" hidden="1">'Fcast_OP_SSC'!$A$1</definedName>
    <definedName name="HL_Sheet_Main_16" hidden="1">'Base_OP_SC'!$A$1</definedName>
    <definedName name="HL_Sheet_Main_17" hidden="1">'Fcast_TO'!$A$1</definedName>
    <definedName name="HL_Sheet_Main_2" hidden="1">'Overview_SC'!$A$1</definedName>
    <definedName name="HL_Sheet_Main_21" hidden="1">'Model_Exports_ME_TO'!$A$1</definedName>
    <definedName name="HL_Sheet_Main_24" hidden="1">'Contents'!$A$1</definedName>
    <definedName name="HL_Sheet_Main_25" hidden="1">'Cover'!$A$1</definedName>
    <definedName name="HL_Sheet_Main_3" hidden="1">'Notes_SSC'!$A$1</definedName>
    <definedName name="HL_Sheet_Main_39" hidden="1">'Appendices_SC'!$A$1</definedName>
    <definedName name="HL_Sheet_Main_4" hidden="1">'TS_Ass_SSC'!$A$1</definedName>
    <definedName name="HL_Sheet_Main_40" hidden="1">'LU_SSC'!$A$1</definedName>
    <definedName name="HL_Sheet_Main_5" hidden="1">'Fcast_Ass_SSC'!$A$1</definedName>
    <definedName name="HL_Sheet_Main_8" hidden="1">'Model_Exports_SSC'!$A$1</definedName>
    <definedName name="HL_Sheet_Main_9" hidden="1">'TS_LU'!$A$1</definedName>
    <definedName name="HL_TOC_10" hidden="1">'Fcast_TA'!$B$41</definedName>
    <definedName name="HL_TOC_17" hidden="1">'Fcast_TO'!$B$62</definedName>
    <definedName name="HL_TOC_21" hidden="1">'Fcast_TO'!$B$16</definedName>
    <definedName name="HL_TOC_24" hidden="1">'Fcast_TO'!$B$25</definedName>
    <definedName name="HL_TOC_4" hidden="1">'TS_LU'!$B$7</definedName>
    <definedName name="HL_TOC_5" hidden="1">'Fcast_TA'!$B$16</definedName>
    <definedName name="HL_TOC_6" hidden="1">'Checks_BO'!$B$7</definedName>
    <definedName name="HL_TOC_7" hidden="1">'Checks_BO'!$B$29</definedName>
    <definedName name="HL_TOC_8" hidden="1">'Checks_BO'!$B$45</definedName>
    <definedName name="HL_TOC_9" hidden="1">'Fcast_TA'!$B$29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3">'Appendices_SC'!$B$1:$N$30</definedName>
    <definedName name="_xlnm.Print_Area" localSheetId="5">'Assumptions_SC'!$B$1:$N$30</definedName>
    <definedName name="_xlnm.Print_Area" localSheetId="10">'Base_OP_SC'!$B$1:$N$30</definedName>
    <definedName name="_xlnm.Print_Area" localSheetId="17">'Checks_BO'!$B$1:$M$58</definedName>
    <definedName name="_xlnm.Print_Area" localSheetId="16">'Checks_SSC'!$B$1:$N$30</definedName>
    <definedName name="_xlnm.Print_Area" localSheetId="1">'Contents'!$B$1:$Q$36</definedName>
    <definedName name="_xlnm.Print_Area" localSheetId="0">'Cover'!$B$1:$N$27</definedName>
    <definedName name="_xlnm.Print_Area" localSheetId="8">'Fcast_Ass_SSC'!$B$1:$N$30</definedName>
    <definedName name="_xlnm.Print_Area" localSheetId="11">'Fcast_OP_SSC'!$B$1:$N$30</definedName>
    <definedName name="_xlnm.Print_Area" localSheetId="9">'Fcast_TA'!$B$1:$Q$48</definedName>
    <definedName name="_xlnm.Print_Area" localSheetId="12">'Fcast_TO'!$B$1:$Q$86</definedName>
    <definedName name="_xlnm.Print_Area" localSheetId="4">'Linked_Workbooks_Diagram_MS'!$B$1:$BI$39</definedName>
    <definedName name="_xlnm.Print_Area" localSheetId="18">'LU_SSC'!$B$1:$N$30</definedName>
    <definedName name="_xlnm.Print_Area" localSheetId="15">'Model_Exports_ME_TO'!$B$1:$Q$60</definedName>
    <definedName name="_xlnm.Print_Area" localSheetId="14">'Model_Exports_SSC'!$B$1:$N$30</definedName>
    <definedName name="_xlnm.Print_Area" localSheetId="3">'Notes_SSC'!$B$1:$N$30</definedName>
    <definedName name="_xlnm.Print_Area" localSheetId="2">'Overview_SC'!$B$1:$N$30</definedName>
    <definedName name="_xlnm.Print_Area" localSheetId="6">'TS_Ass_SSC'!$B$1:$N$30</definedName>
    <definedName name="_xlnm.Print_Area" localSheetId="7">'TS_BA'!$B$1:$N$66</definedName>
    <definedName name="_xlnm.Print_Area" localSheetId="19">'TS_LU'!$B$1:$G$105</definedName>
    <definedName name="_xlnm.Print_Titles" localSheetId="17">'Checks_BO'!$1:$6</definedName>
    <definedName name="_xlnm.Print_Titles" localSheetId="1">'Contents'!$1:$7</definedName>
    <definedName name="_xlnm.Print_Titles" localSheetId="9">'Fcast_TA'!$1:$15</definedName>
    <definedName name="_xlnm.Print_Titles" localSheetId="12">'Fcast_TO'!$1:$15</definedName>
    <definedName name="_xlnm.Print_Titles" localSheetId="15">'Model_Exports_ME_TO'!$1:$15</definedName>
    <definedName name="_xlnm.Print_Titles" localSheetId="7">'TS_BA'!$1:$6</definedName>
    <definedName name="_xlnm.Print_Titles" localSheetId="19">'TS_LU'!$1:$8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Semi_Annual">'TS_LU'!$D$78</definedName>
    <definedName name="Sens_Chks_Msg">'Checks_BO'!$I$36</definedName>
    <definedName name="Sens_Chks_Ttl_Areas">'Checks_BO'!$M$42</definedName>
    <definedName name="TBXBST" localSheetId="13" hidden="1">"|B|SC|B|"</definedName>
    <definedName name="TBXBST" localSheetId="5" hidden="1">"|B|SC|B|"</definedName>
    <definedName name="TBXBST" localSheetId="10" hidden="1">"|B|SC|B|"</definedName>
    <definedName name="TBXBST" localSheetId="17" hidden="1">"|B|BO|B|"</definedName>
    <definedName name="TBXBST" localSheetId="16" hidden="1">"|B|SSC|B|"</definedName>
    <definedName name="TBXBST" localSheetId="1" hidden="1">"|B|Contents|B|"</definedName>
    <definedName name="TBXBST" localSheetId="0" hidden="1">"|B|Cover|B|"</definedName>
    <definedName name="TBXBST" localSheetId="8" hidden="1">"|B|SSC|B|"</definedName>
    <definedName name="TBXBST" localSheetId="11" hidden="1">"|B|SSC|B|"</definedName>
    <definedName name="TBXBST" localSheetId="9" hidden="1">"|B|TA|B||T|All|T||N|1|N||FTSCN|10|FTSCN||TSP|10|TSP|"</definedName>
    <definedName name="TBXBST" localSheetId="12" hidden="1">"|B|TO|B||T|All|T||N|1|N||FTSCN|10|FTSCN||TSP|10|TSP|"</definedName>
    <definedName name="TBXBST" localSheetId="4" hidden="1">"|B|MS|B||P|"</definedName>
    <definedName name="TBXBST" localSheetId="18" hidden="1">"|B|SSC|B|"</definedName>
    <definedName name="TBXBST" localSheetId="15" hidden="1">"|B|TO|B||T|All|T||N|1|N||FTSCN|10|FTSCN||TSP|10|TSP|"</definedName>
    <definedName name="TBXBST" localSheetId="14" hidden="1">"|B|SSC|B|"</definedName>
    <definedName name="TBXBST" localSheetId="3" hidden="1">"|B|SSC|B|"</definedName>
    <definedName name="TBXBST" localSheetId="2" hidden="1">"|B|SC|B|"</definedName>
    <definedName name="TBXBST" localSheetId="6" hidden="1">"|B|SSC|B|"</definedName>
    <definedName name="TBXBST" localSheetId="7" hidden="1">"|B|BA|B|"</definedName>
    <definedName name="TBXBST" localSheetId="19" hidden="1">"|B|LU|B|"</definedName>
    <definedName name="Ten">'TS_LU'!$D$101</definedName>
    <definedName name="Thousand">'TS_LU'!$D$103</definedName>
    <definedName name="Thousands">'TS_LU'!$D$65</definedName>
    <definedName name="TOC_Hdg_10" hidden="1">'Fcast_TA'!$B$41</definedName>
    <definedName name="TOC_Hdg_17" hidden="1">'Fcast_TO'!$B$62</definedName>
    <definedName name="TOC_Hdg_21" hidden="1">'Fcast_TO'!$B$16</definedName>
    <definedName name="TOC_Hdg_24" hidden="1">'Fcast_TO'!$B$25</definedName>
    <definedName name="TOC_Hdg_4" hidden="1">'TS_LU'!$B$7</definedName>
    <definedName name="TOC_Hdg_5" hidden="1">'Fcast_TA'!$B$16</definedName>
    <definedName name="TOC_Hdg_6" hidden="1">'Checks_BO'!$B$7</definedName>
    <definedName name="TOC_Hdg_7" hidden="1">'Checks_BO'!$B$29</definedName>
    <definedName name="TOC_Hdg_8" hidden="1">'Checks_BO'!$B$45</definedName>
    <definedName name="TOC_Hdg_9" hidden="1">'Fcast_TA'!$B$29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.xml><?xml version="1.0" encoding="utf-8"?>
<comments xmlns="http://schemas.openxmlformats.org/spreadsheetml/2006/main">
  <authors>
    <author>Best Practice Modelling</author>
  </authors>
  <commentList>
    <comment ref="C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Notes indicating linked workbooks on cover sheet.</t>
        </r>
      </text>
    </comment>
  </commentList>
</comments>
</file>

<file path=xl/comments10.xml><?xml version="1.0" encoding="utf-8"?>
<comments xmlns="http://schemas.openxmlformats.org/spreadsheetml/2006/main">
  <authors>
    <author>Michael Hutchens</author>
  </authors>
  <commentList>
    <comment ref="I34" authorId="0">
      <text>
        <r>
          <rPr>
            <b/>
            <sz val="9"/>
            <rFont val="Tahoma"/>
            <family val="2"/>
          </rPr>
          <t xml:space="preserve">Debtors/Creditors Days
</t>
        </r>
        <r>
          <rPr>
            <sz val="9"/>
            <rFont val="Tahoma"/>
            <family val="2"/>
          </rPr>
          <t>Error if debtors days or creditors days assumptions exceed the number of days in the period.</t>
        </r>
      </text>
    </comment>
  </commentList>
</comments>
</file>

<file path=xl/comments13.xml><?xml version="1.0" encoding="utf-8"?>
<comments xmlns="http://schemas.openxmlformats.org/spreadsheetml/2006/main">
  <authors>
    <author>Best Practice Modelling</author>
  </authors>
  <commentList>
    <comment ref="I42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59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74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I86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15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Model exports section used to contain all model exports (BPMC 13-4).</t>
        </r>
      </text>
    </comment>
  </commentList>
</comments>
</file>

<file path=xl/comments16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External workbook exports located on a dedicated, workbook-specific model export sheet (BPMS 13-1, BPMC 13-1).</t>
        </r>
      </text>
    </comment>
    <comment ref="J18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External workbook exports linked directly to linked workbook imports
(BPMS 13-3, BPMC 13-3).</t>
        </r>
      </text>
    </comment>
    <comment ref="J2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Model import and export sheet consistency (BPMC 13-2).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2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Model export section (BPMC 13-4).</t>
        </r>
      </text>
    </comment>
  </commentList>
</comments>
</file>

<file path=xl/comments5.xml><?xml version="1.0" encoding="utf-8"?>
<comments xmlns="http://schemas.openxmlformats.org/spreadsheetml/2006/main">
  <authors>
    <author>Best Practice Modelling</author>
  </authors>
  <commentList>
    <comment ref="V7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Linked workbooks diagram used to clearly specify links between workbooks (BPMC 13-5).</t>
        </r>
      </text>
    </comment>
  </commentList>
</comments>
</file>

<file path=xl/comments8.xml><?xml version="1.0" encoding="utf-8"?>
<comments xmlns="http://schemas.openxmlformats.org/spreadsheetml/2006/main">
  <authors>
    <author>Michael Hutchens</author>
  </authors>
  <commentList>
    <comment ref="E46" authorId="0">
      <text>
        <r>
          <rPr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sharedStrings.xml><?xml version="1.0" encoding="utf-8"?>
<sst xmlns="http://schemas.openxmlformats.org/spreadsheetml/2006/main" count="448" uniqueCount="247">
  <si>
    <t>Best Practice Modelling</t>
  </si>
  <si>
    <t>Go to Table of Contents</t>
  </si>
  <si>
    <t>Primary Developer:  BPM</t>
  </si>
  <si>
    <t>Cover Notes</t>
  </si>
  <si>
    <t>-</t>
  </si>
  <si>
    <t>This example model has been set up to demonstrate the best practice linking of multiple workbooks.</t>
  </si>
  <si>
    <t>This workbook exports data to the workbook 'BPM-SMA 13-Best Practice Model Example 1'.</t>
  </si>
  <si>
    <r>
      <t xml:space="preserve">Use of this model is subject to the </t>
    </r>
    <r>
      <rPr>
        <u val="single"/>
        <sz val="8"/>
        <color indexed="60"/>
        <rFont val="Tahoma"/>
        <family val="2"/>
      </rPr>
      <t>training model terms and conditions</t>
    </r>
    <r>
      <rPr>
        <sz val="8"/>
        <color indexed="60"/>
        <rFont val="Tahoma"/>
        <family val="2"/>
      </rPr>
      <t xml:space="preserve"> on the Best Practice Modelling website.</t>
    </r>
  </si>
  <si>
    <t>Table of Contents</t>
  </si>
  <si>
    <t>Go to Cover Sheet</t>
  </si>
  <si>
    <t>é</t>
  </si>
  <si>
    <t>Section &amp; Sheet Titles</t>
  </si>
  <si>
    <t xml:space="preserve">  Page  </t>
  </si>
  <si>
    <t>1.1.</t>
  </si>
  <si>
    <t>a.</t>
  </si>
  <si>
    <t>2.1.</t>
  </si>
  <si>
    <t>2.2.</t>
  </si>
  <si>
    <t>3.1.</t>
  </si>
  <si>
    <t>4.1.</t>
  </si>
  <si>
    <t>4.2.</t>
  </si>
  <si>
    <t>4.3.</t>
  </si>
  <si>
    <t>Total Pages:</t>
  </si>
  <si>
    <t>Overview</t>
  </si>
  <si>
    <t>Section 1.</t>
  </si>
  <si>
    <t>ç</t>
  </si>
  <si>
    <t>è</t>
  </si>
  <si>
    <t>Section Cover Notes</t>
  </si>
  <si>
    <t>Contains notes explaining the purpose and use of this model and where more help can be obtained.</t>
  </si>
  <si>
    <t>Contains diagrams summarising designated components of the model.</t>
  </si>
  <si>
    <t>Also contains keys explaining the Formats &amp; Styles, Sheet Naming &amp; Range Naming principles used in this model.</t>
  </si>
  <si>
    <t>Notes</t>
  </si>
  <si>
    <t>Sub-Section 1.1.</t>
  </si>
  <si>
    <t>Sub-Section Cover Notes</t>
  </si>
  <si>
    <t>Contains general notes about the purpose and use of this model.</t>
  </si>
  <si>
    <t>Also contains contact details for BPM.</t>
  </si>
  <si>
    <t>Linked Workbooks Diagram</t>
  </si>
  <si>
    <t>x</t>
  </si>
  <si>
    <t>h</t>
  </si>
  <si>
    <t>O</t>
  </si>
  <si>
    <t>BPM-SMA 13-Best Practice Model Example 1</t>
  </si>
  <si>
    <t>Description</t>
  </si>
  <si>
    <t>●</t>
  </si>
  <si>
    <t>Financial model.</t>
  </si>
  <si>
    <t>Details</t>
  </si>
  <si>
    <t>Contains capital structure, taxation and other financial financial statement items assumptions.</t>
  </si>
  <si>
    <t>Operational</t>
  </si>
  <si>
    <t>Working Capital</t>
  </si>
  <si>
    <t>Assets</t>
  </si>
  <si>
    <t>BPM-SMA 13-Best Practice Model Example 2</t>
  </si>
  <si>
    <t>Operational model.</t>
  </si>
  <si>
    <t>Contains operational, working capital and assets assumptions.</t>
  </si>
  <si>
    <t>Assumptions</t>
  </si>
  <si>
    <t>Section 2.</t>
  </si>
  <si>
    <t>Contains base case assumptions used to generate the base case outputs.</t>
  </si>
  <si>
    <t>Time Series Assumptions</t>
  </si>
  <si>
    <t>Sub-Section 2.1.</t>
  </si>
  <si>
    <t>Sub-Section Cover Notes:</t>
  </si>
  <si>
    <t>Contains assumptions used to drive the time series analysis within the model.</t>
  </si>
  <si>
    <t>Core Time Series Assumptions</t>
  </si>
  <si>
    <t>Title</t>
  </si>
  <si>
    <t>Primary</t>
  </si>
  <si>
    <t>Periodicity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</si>
  <si>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</si>
  <si>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</si>
  <si>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</si>
  <si>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</si>
  <si>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</si>
  <si>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</si>
  <si>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</si>
  <si>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</si>
  <si>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Periods In Year</t>
  </si>
  <si>
    <t>Months In Period</t>
  </si>
  <si>
    <t>First Period Financial Period Number</t>
  </si>
  <si>
    <t>First Period Start Date (If Full Period)</t>
  </si>
  <si>
    <t>First Period End Date</t>
  </si>
  <si>
    <t>Denomination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</si>
  <si>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</si>
  <si>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</si>
  <si>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</si>
  <si>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</si>
  <si>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</si>
  <si>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</si>
  <si>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(A)</t>
  </si>
  <si>
    <t>Budget Periods Title</t>
  </si>
  <si>
    <t>(B)</t>
  </si>
  <si>
    <t>Forecast Period Title</t>
  </si>
  <si>
    <t>(F)</t>
  </si>
  <si>
    <t>Data &amp; Projections - Timing Assumptions</t>
  </si>
  <si>
    <t>Data Term Basis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</si>
  <si>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</si>
  <si>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</si>
  <si>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</si>
  <si>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</si>
  <si>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</si>
  <si>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</si>
  <si>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</si>
  <si>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</si>
  <si>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</si>
  <si>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</si>
  <si>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</si>
  <si>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</si>
  <si>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</si>
  <si>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</si>
  <si>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Forecast Assumptions</t>
  </si>
  <si>
    <t>Sub-Section 2.2.</t>
  </si>
  <si>
    <t>Contains forecast assumptions for all areas within the underlying business.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</si>
  <si>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</si>
  <si>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</si>
  <si>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</si>
  <si>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</si>
  <si>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</si>
  <si>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</si>
  <si>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Operational - Assumptions</t>
  </si>
  <si>
    <t xml:space="preserve">Base Amount </t>
  </si>
  <si>
    <t xml:space="preserve"> Periodic Growth Rate (%)</t>
  </si>
  <si>
    <t>Revenue</t>
  </si>
  <si>
    <t>Cost of Goods Sold</t>
  </si>
  <si>
    <t>Operating Expenditure</t>
  </si>
  <si>
    <t>Capital Expenditure - Assets</t>
  </si>
  <si>
    <t>Capital Expenditure - Intangibles</t>
  </si>
  <si>
    <t>Revenue and expense assumptions are entered as positive numbers.</t>
  </si>
  <si>
    <t>Working Capital - Assumptions</t>
  </si>
  <si>
    <t xml:space="preserve">Opening Balance </t>
  </si>
  <si>
    <t xml:space="preserve"> Debtors/Creditors Days</t>
  </si>
  <si>
    <t>Accounts Receivable</t>
  </si>
  <si>
    <t>Accounts Payable</t>
  </si>
  <si>
    <t>Error Check (Invalid Days Assumption)</t>
  </si>
  <si>
    <t>Debtors/creditors days assumptions cannot be greater than the number of days in that period.</t>
  </si>
  <si>
    <t>Assets - Assumptions</t>
  </si>
  <si>
    <t xml:space="preserve"> Depreciation/Amortization - % of Capital Expenditure</t>
  </si>
  <si>
    <t>Intangible Assets</t>
  </si>
  <si>
    <t>Outputs</t>
  </si>
  <si>
    <t>Section 3.</t>
  </si>
  <si>
    <t>Contains base case outputs - i.e. includes only the impacts of base case assumptions.</t>
  </si>
  <si>
    <t>Forecast Outputs</t>
  </si>
  <si>
    <t>Sub-Section 3.1.</t>
  </si>
  <si>
    <t>Contains forecast outputs for all areas within the underlying business other than financial statements.</t>
  </si>
  <si>
    <t>Operational - Outputs</t>
  </si>
  <si>
    <t>Working Capital - Outputs</t>
  </si>
  <si>
    <t>Opening Balance</t>
  </si>
  <si>
    <t>Cash Receipts</t>
  </si>
  <si>
    <t>Movement in Accounts Receivable</t>
  </si>
  <si>
    <t>Closing Balance</t>
  </si>
  <si>
    <t>Debtors Days</t>
  </si>
  <si>
    <t>Error Values Detected</t>
  </si>
  <si>
    <t>Error in Balancing of Components</t>
  </si>
  <si>
    <t>Positive Cash Receipts Error</t>
  </si>
  <si>
    <t>Negative Closing Balance Error</t>
  </si>
  <si>
    <t>Total Error Checks Result</t>
  </si>
  <si>
    <t>Costs</t>
  </si>
  <si>
    <t>Cash Payments</t>
  </si>
  <si>
    <t>Movement in Accounts Payable</t>
  </si>
  <si>
    <t>Creditors Days</t>
  </si>
  <si>
    <t>Positive Cash Payments Error</t>
  </si>
  <si>
    <t>Assets - Outputs</t>
  </si>
  <si>
    <t>Depreciation - % of Capital Expenditure</t>
  </si>
  <si>
    <t>Depreciation</t>
  </si>
  <si>
    <t>Amortization - % of Capital Expenditure</t>
  </si>
  <si>
    <t>Amortization</t>
  </si>
  <si>
    <t>Appendices</t>
  </si>
  <si>
    <t>Section 4.</t>
  </si>
  <si>
    <t>Contains checks and lookup tables.</t>
  </si>
  <si>
    <t>Model Exports</t>
  </si>
  <si>
    <t>Sub-Section 4.1.</t>
  </si>
  <si>
    <t>Contains data exported to external workbooks.</t>
  </si>
  <si>
    <t>Model Exports (To BPM-SMA 13-Best Practice Model Example 1)</t>
  </si>
  <si>
    <t>Checks</t>
  </si>
  <si>
    <t>Sub-Section 4.2.</t>
  </si>
  <si>
    <t>Contains error, sensitivity and alert checks.</t>
  </si>
  <si>
    <t>Error Checks</t>
  </si>
  <si>
    <t>Errors Detected - Summary</t>
  </si>
  <si>
    <t>Error Message (Empty if None):</t>
  </si>
  <si>
    <t>Check</t>
  </si>
  <si>
    <t>Include?</t>
  </si>
  <si>
    <t>Flag</t>
  </si>
  <si>
    <t>Yes</t>
  </si>
  <si>
    <t>Total Errors:</t>
  </si>
  <si>
    <t>Sensitivity Checks</t>
  </si>
  <si>
    <t>Sensitivities Detected - Summary</t>
  </si>
  <si>
    <t>Sensitivity Message (Empty if None):</t>
  </si>
  <si>
    <t>Total Sensitivities:</t>
  </si>
  <si>
    <t>Alert Checks</t>
  </si>
  <si>
    <t>Alerts Detected - Summary</t>
  </si>
  <si>
    <t>Alert Message (Empty if None):</t>
  </si>
  <si>
    <t>Total Alerts:</t>
  </si>
  <si>
    <t>Lookup Tables</t>
  </si>
  <si>
    <t>Sub-Section 4.3.</t>
  </si>
  <si>
    <t>Contains model lookup tables.</t>
  </si>
  <si>
    <t>Time Series Lookup Tables</t>
  </si>
  <si>
    <t>Month Days</t>
  </si>
  <si>
    <t>Names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</si>
  <si>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</si>
  <si>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</si>
  <si>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</si>
  <si>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</si>
  <si>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</si>
  <si>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</si>
  <si>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</si>
  <si>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</si>
  <si>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</si>
  <si>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</si>
  <si>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</si>
  <si>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</si>
  <si>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</si>
  <si>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</si>
  <si>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</si>
  <si>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</si>
  <si>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</si>
  <si>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</si>
  <si>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</si>
  <si>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</si>
  <si>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</si>
  <si>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</si>
  <si>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</si>
  <si>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</si>
  <si>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LU_Data_Term_Basis</t>
  </si>
  <si>
    <t>Active Data Periods</t>
  </si>
  <si>
    <t>Projections Start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</si>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</sst>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#,##0."/>
    <numFmt numFmtId="172" formatCode="_(#,##0_);\(#,##0\);_(&quot;-&quot;_)"/>
    <numFmt numFmtId="173" formatCode="_(#,##0._);\(#,##0\);_(&quot;-&quot;_)"/>
    <numFmt numFmtId="174" formatCode="_(#,##0_);\(#,##0\);_-&quot;-&quot;_-"/>
  </numFmts>
  <fonts count="49">
    <font>
      <sz val="8"/>
      <name val="Tahoma"/>
      <family val="2"/>
    </font>
    <font>
      <sz val="8"/>
      <color indexed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12"/>
      <color indexed="59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60"/>
      <name val="Tahoma"/>
      <family val="2"/>
    </font>
    <font>
      <sz val="9"/>
      <name val="Tahoma"/>
      <family val="2"/>
    </font>
    <font>
      <b/>
      <sz val="10"/>
      <color indexed="60"/>
      <name val="Tahoma"/>
      <family val="2"/>
    </font>
    <font>
      <b/>
      <sz val="10"/>
      <color indexed="56"/>
      <name val="Tahoma"/>
      <family val="2"/>
    </font>
    <font>
      <b/>
      <sz val="9"/>
      <color indexed="56"/>
      <name val="Tahoma"/>
      <family val="2"/>
    </font>
    <font>
      <b/>
      <sz val="9"/>
      <color indexed="60"/>
      <name val="Tahoma"/>
      <family val="2"/>
    </font>
    <font>
      <b/>
      <sz val="13"/>
      <color indexed="60"/>
      <name val="Tahoma"/>
      <family val="2"/>
    </font>
    <font>
      <b/>
      <sz val="8"/>
      <color indexed="26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b/>
      <sz val="8"/>
      <color indexed="59"/>
      <name val="Tahoma"/>
      <family val="2"/>
    </font>
    <font>
      <b/>
      <sz val="10"/>
      <color indexed="59"/>
      <name val="Arial"/>
      <family val="2"/>
    </font>
    <font>
      <b/>
      <sz val="9"/>
      <color indexed="59"/>
      <name val="Tahoma"/>
      <family val="2"/>
    </font>
    <font>
      <i/>
      <sz val="8"/>
      <color indexed="60"/>
      <name val="Tahoma"/>
      <family val="2"/>
    </font>
    <font>
      <i/>
      <sz val="8"/>
      <name val="Tahoma"/>
      <family val="2"/>
    </font>
    <font>
      <i/>
      <sz val="8"/>
      <color indexed="59"/>
      <name val="Tahoma"/>
      <family val="2"/>
    </font>
    <font>
      <sz val="8"/>
      <color indexed="9"/>
      <name val="Tahoma"/>
      <family val="2"/>
    </font>
    <font>
      <u val="single"/>
      <sz val="8"/>
      <color indexed="12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3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60"/>
      </left>
      <right/>
      <top style="thin">
        <color indexed="60"/>
      </top>
      <bottom/>
    </border>
    <border>
      <left/>
      <right/>
      <top style="thin">
        <color indexed="60"/>
      </top>
      <bottom/>
    </border>
    <border>
      <left/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/>
      <right style="thin"/>
      <top/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/>
      <top/>
      <bottom/>
    </border>
    <border>
      <left/>
      <right/>
      <top/>
      <bottom style="dashed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</borders>
  <cellStyleXfs count="119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41" fillId="16" borderId="0" applyNumberFormat="0" applyBorder="0" applyAlignment="0" applyProtection="0"/>
    <xf numFmtId="0" fontId="45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47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8" fillId="0" borderId="4" applyNumberFormat="0" applyFill="0" applyAlignment="0" applyProtection="0"/>
    <xf numFmtId="0" fontId="5" fillId="0" borderId="0" applyFill="0" applyBorder="0">
      <alignment vertical="center"/>
      <protection/>
    </xf>
    <xf numFmtId="0" fontId="23" fillId="0" borderId="5" applyNumberFormat="0" applyFill="0" applyAlignment="0" applyProtection="0"/>
    <xf numFmtId="0" fontId="6" fillId="0" borderId="0" applyFill="0" applyBorder="0">
      <alignment vertical="center"/>
      <protection/>
    </xf>
    <xf numFmtId="0" fontId="39" fillId="0" borderId="6" applyNumberFormat="0" applyFill="0" applyAlignment="0" applyProtection="0"/>
    <xf numFmtId="0" fontId="7" fillId="0" borderId="0" applyFill="0" applyBorder="0">
      <alignment vertical="center"/>
      <protection/>
    </xf>
    <xf numFmtId="0" fontId="39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3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43" fillId="3" borderId="2" applyNumberFormat="0" applyAlignment="0" applyProtection="0"/>
    <xf numFmtId="0" fontId="46" fillId="0" borderId="7" applyNumberFormat="0" applyFill="0" applyAlignment="0" applyProtection="0"/>
    <xf numFmtId="0" fontId="7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4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42" fillId="8" borderId="0" applyNumberFormat="0" applyBorder="0" applyAlignment="0" applyProtection="0"/>
    <xf numFmtId="0" fontId="0" fillId="0" borderId="0" applyFill="0" applyBorder="0">
      <alignment vertical="center"/>
      <protection/>
    </xf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44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37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83">
    <xf numFmtId="0" fontId="0" fillId="0" borderId="0" xfId="0" applyAlignment="1">
      <alignment vertical="center"/>
    </xf>
    <xf numFmtId="0" fontId="13" fillId="0" borderId="0" xfId="113" applyFont="1">
      <alignment vertical="center"/>
      <protection/>
    </xf>
    <xf numFmtId="0" fontId="0" fillId="0" borderId="0" xfId="82">
      <alignment vertical="center"/>
      <protection/>
    </xf>
    <xf numFmtId="0" fontId="14" fillId="0" borderId="0" xfId="79" applyFont="1">
      <alignment vertical="center"/>
      <protection/>
    </xf>
    <xf numFmtId="0" fontId="15" fillId="0" borderId="0" xfId="63" applyFont="1" applyAlignment="1">
      <alignment horizontal="left" vertical="center"/>
      <protection/>
    </xf>
    <xf numFmtId="0" fontId="16" fillId="0" borderId="0" xfId="65" applyFont="1" applyAlignment="1">
      <alignment horizontal="center" vertical="center"/>
      <protection/>
    </xf>
    <xf numFmtId="0" fontId="16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4" fillId="0" borderId="0" xfId="79" applyFont="1">
      <alignment vertical="center"/>
      <protection/>
    </xf>
    <xf numFmtId="0" fontId="8" fillId="0" borderId="0" xfId="69">
      <alignment vertical="center"/>
      <protection/>
    </xf>
    <xf numFmtId="0" fontId="9" fillId="0" borderId="0" xfId="67" applyBorder="1">
      <alignment horizontal="center" vertical="center"/>
      <protection/>
    </xf>
    <xf numFmtId="0" fontId="19" fillId="0" borderId="11" xfId="59" applyFont="1" applyBorder="1" applyAlignment="1">
      <alignment horizontal="left" vertical="center"/>
      <protection/>
    </xf>
    <xf numFmtId="0" fontId="0" fillId="0" borderId="11" xfId="82" applyBorder="1">
      <alignment vertical="center"/>
      <protection/>
    </xf>
    <xf numFmtId="0" fontId="19" fillId="0" borderId="11" xfId="59" applyFont="1" applyBorder="1" applyAlignment="1">
      <alignment horizontal="center" vertical="center"/>
      <protection/>
    </xf>
    <xf numFmtId="0" fontId="0" fillId="0" borderId="0" xfId="82" applyBorder="1">
      <alignment vertical="center"/>
      <protection/>
    </xf>
    <xf numFmtId="172" fontId="20" fillId="0" borderId="0" xfId="70" applyNumberFormat="1" applyFont="1" applyAlignment="1">
      <alignment horizontal="center" vertical="center"/>
      <protection/>
    </xf>
    <xf numFmtId="172" fontId="21" fillId="0" borderId="0" xfId="71" applyNumberFormat="1" applyFont="1" applyAlignment="1">
      <alignment horizontal="center" vertical="center"/>
      <protection/>
    </xf>
    <xf numFmtId="172" fontId="12" fillId="0" borderId="0" xfId="72" applyNumberFormat="1" applyFont="1" applyAlignment="1">
      <alignment horizontal="center" vertical="center"/>
      <protection/>
    </xf>
    <xf numFmtId="0" fontId="12" fillId="0" borderId="0" xfId="73" applyFont="1" applyAlignment="1">
      <alignment horizontal="center" vertical="center"/>
      <protection/>
    </xf>
    <xf numFmtId="0" fontId="22" fillId="0" borderId="0" xfId="61" applyFont="1" applyAlignment="1">
      <alignment horizontal="left" vertical="center"/>
      <protection/>
    </xf>
    <xf numFmtId="172" fontId="15" fillId="0" borderId="12" xfId="65" applyNumberFormat="1" applyFont="1" applyBorder="1" applyAlignment="1">
      <alignment horizontal="center" vertical="center"/>
      <protection/>
    </xf>
    <xf numFmtId="0" fontId="23" fillId="0" borderId="0" xfId="112" applyFont="1">
      <alignment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6" fillId="0" borderId="0" xfId="65" applyFont="1" applyAlignment="1">
      <alignment horizontal="left" vertical="center"/>
      <protection/>
    </xf>
    <xf numFmtId="0" fontId="0" fillId="0" borderId="0" xfId="100">
      <alignment vertical="center"/>
      <protection/>
    </xf>
    <xf numFmtId="0" fontId="2" fillId="0" borderId="0" xfId="105">
      <alignment vertical="center"/>
      <protection/>
    </xf>
    <xf numFmtId="0" fontId="4" fillId="0" borderId="0" xfId="98">
      <alignment vertical="center"/>
      <protection/>
    </xf>
    <xf numFmtId="0" fontId="9" fillId="0" borderId="0" xfId="95">
      <alignment horizontal="center" vertical="center"/>
      <protection/>
    </xf>
    <xf numFmtId="0" fontId="0" fillId="0" borderId="13" xfId="100" applyBorder="1">
      <alignment vertical="center"/>
      <protection/>
    </xf>
    <xf numFmtId="0" fontId="0" fillId="0" borderId="14" xfId="100" applyBorder="1">
      <alignment vertical="center"/>
      <protection/>
    </xf>
    <xf numFmtId="0" fontId="0" fillId="0" borderId="15" xfId="100" applyBorder="1">
      <alignment vertical="center"/>
      <protection/>
    </xf>
    <xf numFmtId="0" fontId="0" fillId="0" borderId="16" xfId="100" applyBorder="1">
      <alignment vertical="center"/>
      <protection/>
    </xf>
    <xf numFmtId="0" fontId="15" fillId="0" borderId="0" xfId="93" applyFont="1" applyBorder="1">
      <alignment vertical="center"/>
      <protection/>
    </xf>
    <xf numFmtId="0" fontId="0" fillId="0" borderId="0" xfId="100" applyBorder="1">
      <alignment vertical="center"/>
      <protection/>
    </xf>
    <xf numFmtId="0" fontId="0" fillId="0" borderId="17" xfId="100" applyBorder="1">
      <alignment vertical="center"/>
      <protection/>
    </xf>
    <xf numFmtId="0" fontId="16" fillId="0" borderId="0" xfId="94" applyFont="1" applyBorder="1" applyAlignment="1">
      <alignment horizontal="center"/>
      <protection/>
    </xf>
    <xf numFmtId="0" fontId="16" fillId="0" borderId="0" xfId="100" applyFont="1" applyBorder="1">
      <alignment vertical="center"/>
      <protection/>
    </xf>
    <xf numFmtId="0" fontId="16" fillId="0" borderId="0" xfId="94" applyFont="1" applyBorder="1">
      <alignment vertical="center"/>
      <protection/>
    </xf>
    <xf numFmtId="0" fontId="0" fillId="0" borderId="18" xfId="100" applyBorder="1">
      <alignment vertical="center"/>
      <protection/>
    </xf>
    <xf numFmtId="0" fontId="0" fillId="0" borderId="19" xfId="100" applyBorder="1">
      <alignment vertical="center"/>
      <protection/>
    </xf>
    <xf numFmtId="0" fontId="0" fillId="0" borderId="20" xfId="100" applyBorder="1">
      <alignment vertical="center"/>
      <protection/>
    </xf>
    <xf numFmtId="0" fontId="0" fillId="0" borderId="0" xfId="100" applyBorder="1" applyAlignment="1">
      <alignment horizontal="center"/>
      <protection/>
    </xf>
    <xf numFmtId="0" fontId="25" fillId="0" borderId="21" xfId="100" applyFont="1" applyBorder="1">
      <alignment vertical="center"/>
      <protection/>
    </xf>
    <xf numFmtId="0" fontId="25" fillId="0" borderId="22" xfId="100" applyFont="1" applyBorder="1">
      <alignment vertical="center"/>
      <protection/>
    </xf>
    <xf numFmtId="0" fontId="25" fillId="0" borderId="23" xfId="100" applyFont="1" applyBorder="1">
      <alignment vertical="center"/>
      <protection/>
    </xf>
    <xf numFmtId="0" fontId="25" fillId="0" borderId="24" xfId="100" applyFont="1" applyBorder="1">
      <alignment vertical="center"/>
      <protection/>
    </xf>
    <xf numFmtId="0" fontId="26" fillId="0" borderId="0" xfId="93" applyFont="1" applyBorder="1">
      <alignment vertical="center"/>
      <protection/>
    </xf>
    <xf numFmtId="0" fontId="25" fillId="0" borderId="0" xfId="100" applyFont="1" applyBorder="1">
      <alignment vertical="center"/>
      <protection/>
    </xf>
    <xf numFmtId="0" fontId="25" fillId="0" borderId="25" xfId="100" applyFont="1" applyBorder="1">
      <alignment vertical="center"/>
      <protection/>
    </xf>
    <xf numFmtId="0" fontId="25" fillId="0" borderId="0" xfId="94" applyFont="1" applyBorder="1" applyAlignment="1">
      <alignment horizontal="center"/>
      <protection/>
    </xf>
    <xf numFmtId="0" fontId="25" fillId="0" borderId="0" xfId="94" applyFont="1" applyBorder="1">
      <alignment vertical="center"/>
      <protection/>
    </xf>
    <xf numFmtId="0" fontId="25" fillId="0" borderId="26" xfId="100" applyFont="1" applyBorder="1">
      <alignment vertical="center"/>
      <protection/>
    </xf>
    <xf numFmtId="0" fontId="25" fillId="0" borderId="27" xfId="100" applyFont="1" applyBorder="1">
      <alignment vertical="center"/>
      <protection/>
    </xf>
    <xf numFmtId="0" fontId="25" fillId="0" borderId="28" xfId="100" applyFont="1" applyBorder="1">
      <alignment vertical="center"/>
      <protection/>
    </xf>
    <xf numFmtId="0" fontId="0" fillId="6" borderId="0" xfId="82" applyFill="1">
      <alignment vertical="center"/>
      <protection/>
    </xf>
    <xf numFmtId="0" fontId="13" fillId="6" borderId="0" xfId="113" applyFont="1" applyFill="1">
      <alignment vertical="center"/>
      <protection/>
    </xf>
    <xf numFmtId="0" fontId="4" fillId="6" borderId="0" xfId="79" applyFont="1" applyFill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19" fillId="6" borderId="0" xfId="59" applyFont="1" applyFill="1" applyAlignment="1">
      <alignment horizontal="left" vertical="center"/>
      <protection/>
    </xf>
    <xf numFmtId="0" fontId="22" fillId="6" borderId="0" xfId="61" applyFont="1" applyFill="1" applyAlignment="1">
      <alignment horizontal="left" vertical="center"/>
      <protection/>
    </xf>
    <xf numFmtId="0" fontId="16" fillId="6" borderId="0" xfId="65" applyFont="1" applyFill="1" applyAlignment="1">
      <alignment horizontal="left" vertical="center"/>
      <protection/>
    </xf>
    <xf numFmtId="0" fontId="27" fillId="6" borderId="0" xfId="48" applyFont="1" applyFill="1" applyAlignment="1">
      <alignment horizontal="center" vertical="center"/>
      <protection locked="0"/>
    </xf>
    <xf numFmtId="0" fontId="15" fillId="6" borderId="0" xfId="63" applyFont="1" applyFill="1" applyAlignment="1">
      <alignment horizontal="left" vertical="center"/>
      <protection/>
    </xf>
    <xf numFmtId="0" fontId="16" fillId="6" borderId="0" xfId="65" applyFont="1" applyFill="1" applyAlignment="1" quotePrefix="1">
      <alignment horizontal="right" vertical="center"/>
      <protection/>
    </xf>
    <xf numFmtId="0" fontId="16" fillId="6" borderId="0" xfId="65" applyFont="1" applyFill="1" applyAlignment="1" quotePrefix="1">
      <alignment horizontal="left" vertical="center"/>
      <protection/>
    </xf>
    <xf numFmtId="0" fontId="29" fillId="6" borderId="0" xfId="88" applyFont="1" applyFill="1" applyAlignment="1">
      <alignment horizontal="left" vertical="center"/>
      <protection/>
    </xf>
    <xf numFmtId="0" fontId="29" fillId="6" borderId="0" xfId="88" applyFont="1" applyFill="1" applyAlignment="1">
      <alignment horizontal="right" vertical="center"/>
      <protection/>
    </xf>
    <xf numFmtId="0" fontId="29" fillId="6" borderId="11" xfId="88" applyFont="1" applyFill="1" applyBorder="1" applyAlignment="1">
      <alignment horizontal="left" vertical="center"/>
      <protection/>
    </xf>
    <xf numFmtId="0" fontId="0" fillId="6" borderId="11" xfId="82" applyFill="1" applyBorder="1">
      <alignment vertical="center"/>
      <protection/>
    </xf>
    <xf numFmtId="0" fontId="29" fillId="6" borderId="11" xfId="88" applyFont="1" applyFill="1" applyBorder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8" fillId="6" borderId="0" xfId="118" applyFont="1" applyFill="1" applyAlignment="1">
      <alignment horizontal="right" vertical="center"/>
      <protection/>
    </xf>
    <xf numFmtId="0" fontId="28" fillId="6" borderId="0" xfId="65" applyFont="1" applyFill="1" applyAlignment="1">
      <alignment horizontal="right" vertical="center"/>
      <protection/>
    </xf>
    <xf numFmtId="172" fontId="0" fillId="6" borderId="0" xfId="84" applyNumberFormat="1" applyFont="1" applyFill="1" applyAlignment="1">
      <alignment horizontal="right" vertical="center"/>
      <protection/>
    </xf>
    <xf numFmtId="0" fontId="16" fillId="6" borderId="11" xfId="65" applyFont="1" applyFill="1" applyBorder="1" applyAlignment="1">
      <alignment horizontal="left" vertical="center"/>
      <protection/>
    </xf>
    <xf numFmtId="166" fontId="28" fillId="6" borderId="11" xfId="84" applyFont="1" applyFill="1" applyBorder="1" applyAlignment="1">
      <alignment horizontal="right" vertical="center"/>
      <protection/>
    </xf>
    <xf numFmtId="0" fontId="19" fillId="6" borderId="0" xfId="59" applyFont="1" applyFill="1">
      <alignment vertical="center"/>
      <protection/>
    </xf>
    <xf numFmtId="0" fontId="15" fillId="6" borderId="29" xfId="63" applyFont="1" applyFill="1" applyBorder="1" applyAlignment="1">
      <alignment horizontal="right" vertical="center"/>
      <protection/>
    </xf>
    <xf numFmtId="0" fontId="15" fillId="6" borderId="0" xfId="63" applyFont="1" applyFill="1" quotePrefix="1">
      <alignment vertical="center"/>
      <protection/>
    </xf>
    <xf numFmtId="0" fontId="16" fillId="6" borderId="0" xfId="65" applyFont="1" applyFill="1">
      <alignment vertical="center"/>
      <protection/>
    </xf>
    <xf numFmtId="166" fontId="16" fillId="0" borderId="30" xfId="43" applyFont="1" applyBorder="1">
      <alignment vertical="center"/>
      <protection locked="0"/>
    </xf>
    <xf numFmtId="167" fontId="16" fillId="0" borderId="31" xfId="44" applyFont="1" applyBorder="1">
      <alignment vertical="center"/>
      <protection locked="0"/>
    </xf>
    <xf numFmtId="167" fontId="16" fillId="0" borderId="1" xfId="44" applyFont="1">
      <alignment vertical="center"/>
      <protection locked="0"/>
    </xf>
    <xf numFmtId="0" fontId="15" fillId="6" borderId="0" xfId="63" applyFont="1" applyFill="1">
      <alignment vertical="center"/>
      <protection/>
    </xf>
    <xf numFmtId="173" fontId="16" fillId="6" borderId="0" xfId="84" applyNumberFormat="1" applyFont="1" applyFill="1" applyAlignment="1" quotePrefix="1">
      <alignment horizontal="right" vertical="center"/>
      <protection/>
    </xf>
    <xf numFmtId="0" fontId="28" fillId="6" borderId="0" xfId="65" applyFont="1" applyFill="1">
      <alignment vertical="center"/>
      <protection/>
    </xf>
    <xf numFmtId="172" fontId="16" fillId="0" borderId="1" xfId="43" applyNumberFormat="1" applyFont="1">
      <alignment vertical="center"/>
      <protection locked="0"/>
    </xf>
    <xf numFmtId="174" fontId="7" fillId="6" borderId="32" xfId="84" applyNumberFormat="1" applyFont="1" applyFill="1" applyBorder="1" applyAlignment="1">
      <alignment horizontal="right" vertical="center"/>
      <protection/>
    </xf>
    <xf numFmtId="172" fontId="0" fillId="6" borderId="0" xfId="84" applyNumberFormat="1" applyFont="1" applyFill="1">
      <alignment vertical="center"/>
      <protection/>
    </xf>
    <xf numFmtId="0" fontId="9" fillId="0" borderId="0" xfId="67">
      <alignment horizontal="center" vertical="center"/>
      <protection/>
    </xf>
    <xf numFmtId="0" fontId="9" fillId="0" borderId="0" xfId="68" applyAlignment="1">
      <alignment horizontal="center" vertical="center"/>
      <protection/>
    </xf>
    <xf numFmtId="0" fontId="9" fillId="0" borderId="0" xfId="68" applyAlignment="1">
      <alignment horizontal="left" vertical="center"/>
      <protection/>
    </xf>
    <xf numFmtId="0" fontId="29" fillId="0" borderId="0" xfId="88" applyFont="1" applyAlignment="1">
      <alignment horizontal="left" vertical="center"/>
      <protection/>
    </xf>
    <xf numFmtId="0" fontId="29" fillId="0" borderId="0" xfId="88" applyFont="1" applyAlignment="1">
      <alignment horizontal="right" vertical="center"/>
      <protection/>
    </xf>
    <xf numFmtId="0" fontId="29" fillId="0" borderId="11" xfId="88" applyFont="1" applyBorder="1" applyAlignment="1">
      <alignment horizontal="left" vertical="center"/>
      <protection/>
    </xf>
    <xf numFmtId="0" fontId="29" fillId="0" borderId="11" xfId="88" applyFont="1" applyBorder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8" fillId="0" borderId="0" xfId="118" applyFont="1" applyAlignment="1">
      <alignment horizontal="right" vertical="center"/>
      <protection/>
    </xf>
    <xf numFmtId="0" fontId="28" fillId="0" borderId="0" xfId="65" applyFont="1" applyAlignment="1">
      <alignment horizontal="right" vertical="center"/>
      <protection/>
    </xf>
    <xf numFmtId="172" fontId="0" fillId="0" borderId="0" xfId="84" applyNumberFormat="1" applyFont="1" applyAlignment="1">
      <alignment horizontal="right" vertical="center"/>
      <protection/>
    </xf>
    <xf numFmtId="0" fontId="16" fillId="0" borderId="11" xfId="65" applyFont="1" applyBorder="1" applyAlignment="1">
      <alignment horizontal="left" vertical="center"/>
      <protection/>
    </xf>
    <xf numFmtId="166" fontId="28" fillId="0" borderId="11" xfId="84" applyFont="1" applyBorder="1" applyAlignment="1">
      <alignment horizontal="right" vertical="center"/>
      <protection/>
    </xf>
    <xf numFmtId="0" fontId="19" fillId="0" borderId="0" xfId="59" applyFont="1">
      <alignment vertical="center"/>
      <protection/>
    </xf>
    <xf numFmtId="166" fontId="0" fillId="0" borderId="0" xfId="84" applyFont="1">
      <alignment vertical="center"/>
      <protection/>
    </xf>
    <xf numFmtId="0" fontId="30" fillId="0" borderId="0" xfId="82" applyFont="1" applyAlignment="1">
      <alignment horizontal="left" vertical="center"/>
      <protection/>
    </xf>
    <xf numFmtId="0" fontId="31" fillId="0" borderId="0" xfId="61" applyFont="1">
      <alignment vertical="center"/>
      <protection/>
    </xf>
    <xf numFmtId="0" fontId="16" fillId="0" borderId="0" xfId="65" applyFont="1" applyBorder="1">
      <alignment vertical="center"/>
      <protection/>
    </xf>
    <xf numFmtId="166" fontId="0" fillId="0" borderId="0" xfId="84" applyFont="1" applyBorder="1">
      <alignment vertical="center"/>
      <protection/>
    </xf>
    <xf numFmtId="0" fontId="32" fillId="0" borderId="0" xfId="65" applyFont="1">
      <alignment vertical="center"/>
      <protection/>
    </xf>
    <xf numFmtId="166" fontId="33" fillId="0" borderId="0" xfId="84" applyFont="1" applyBorder="1">
      <alignment vertical="center"/>
      <protection/>
    </xf>
    <xf numFmtId="0" fontId="15" fillId="0" borderId="0" xfId="63" applyFont="1">
      <alignment vertical="center"/>
      <protection/>
    </xf>
    <xf numFmtId="166" fontId="7" fillId="0" borderId="12" xfId="84" applyFont="1" applyBorder="1">
      <alignment vertical="center"/>
      <protection/>
    </xf>
    <xf numFmtId="0" fontId="34" fillId="0" borderId="0" xfId="65" applyFont="1">
      <alignment vertical="center"/>
      <protection/>
    </xf>
    <xf numFmtId="167" fontId="34" fillId="0" borderId="0" xfId="87" applyFont="1" applyAlignment="1">
      <alignment horizontal="right" vertical="center"/>
      <protection/>
    </xf>
    <xf numFmtId="172" fontId="33" fillId="0" borderId="0" xfId="84" applyNumberFormat="1" applyFont="1">
      <alignment vertical="center"/>
      <protection/>
    </xf>
    <xf numFmtId="172" fontId="0" fillId="0" borderId="0" xfId="84" applyNumberFormat="1" applyFont="1">
      <alignment vertical="center"/>
      <protection/>
    </xf>
    <xf numFmtId="172" fontId="28" fillId="0" borderId="0" xfId="84" applyNumberFormat="1" applyFont="1">
      <alignment vertical="center"/>
      <protection/>
    </xf>
    <xf numFmtId="172" fontId="28" fillId="0" borderId="33" xfId="84" applyNumberFormat="1" applyFont="1" applyBorder="1">
      <alignment vertical="center"/>
      <protection/>
    </xf>
    <xf numFmtId="174" fontId="7" fillId="0" borderId="32" xfId="84" applyNumberFormat="1" applyFont="1" applyBorder="1" applyAlignment="1">
      <alignment horizontal="right" vertical="center"/>
      <protection/>
    </xf>
    <xf numFmtId="167" fontId="0" fillId="0" borderId="0" xfId="87" applyFont="1">
      <alignment vertical="center"/>
      <protection/>
    </xf>
    <xf numFmtId="0" fontId="5" fillId="0" borderId="0" xfId="59" applyFont="1">
      <alignment vertical="center"/>
      <protection/>
    </xf>
    <xf numFmtId="166" fontId="7" fillId="0" borderId="0" xfId="84" applyFont="1">
      <alignment vertical="center"/>
      <protection/>
    </xf>
    <xf numFmtId="0" fontId="6" fillId="0" borderId="0" xfId="61" applyFont="1">
      <alignment vertical="center"/>
      <protection/>
    </xf>
    <xf numFmtId="0" fontId="0" fillId="0" borderId="0" xfId="65" applyFont="1" applyBorder="1">
      <alignment vertical="center"/>
      <protection/>
    </xf>
    <xf numFmtId="0" fontId="33" fillId="0" borderId="0" xfId="65" applyFont="1">
      <alignment vertical="center"/>
      <protection/>
    </xf>
    <xf numFmtId="0" fontId="7" fillId="0" borderId="0" xfId="63" applyFont="1">
      <alignment vertical="center"/>
      <protection/>
    </xf>
    <xf numFmtId="0" fontId="19" fillId="0" borderId="0" xfId="59" applyFont="1" applyAlignment="1">
      <alignment horizontal="left" vertical="center"/>
      <protection/>
    </xf>
    <xf numFmtId="0" fontId="35" fillId="0" borderId="0" xfId="48" applyFont="1" applyAlignment="1">
      <alignment horizontal="center" vertical="center"/>
      <protection locked="0"/>
    </xf>
    <xf numFmtId="0" fontId="7" fillId="0" borderId="0" xfId="63" applyFont="1" applyAlignment="1">
      <alignment horizontal="left" vertical="center"/>
      <protection/>
    </xf>
    <xf numFmtId="172" fontId="7" fillId="0" borderId="34" xfId="84" applyNumberFormat="1" applyFont="1" applyBorder="1" applyAlignment="1">
      <alignment horizontal="center" vertical="center"/>
      <protection/>
    </xf>
    <xf numFmtId="172" fontId="15" fillId="0" borderId="0" xfId="63" applyNumberFormat="1" applyFont="1" applyAlignment="1">
      <alignment horizontal="left" vertical="center"/>
      <protection/>
    </xf>
    <xf numFmtId="172" fontId="29" fillId="0" borderId="35" xfId="65" applyNumberFormat="1" applyFont="1" applyBorder="1" applyAlignment="1">
      <alignment horizontal="left" vertical="center"/>
      <protection/>
    </xf>
    <xf numFmtId="0" fontId="15" fillId="0" borderId="11" xfId="63" applyFont="1" applyBorder="1" applyAlignment="1">
      <alignment horizontal="left" vertical="center"/>
      <protection/>
    </xf>
    <xf numFmtId="0" fontId="15" fillId="0" borderId="11" xfId="63" applyFont="1" applyBorder="1" applyAlignment="1">
      <alignment horizontal="center" vertical="center"/>
      <protection/>
    </xf>
    <xf numFmtId="0" fontId="15" fillId="0" borderId="0" xfId="63" applyFont="1" applyBorder="1" applyAlignment="1">
      <alignment horizontal="left" vertical="center"/>
      <protection/>
    </xf>
    <xf numFmtId="0" fontId="15" fillId="0" borderId="0" xfId="63" applyFont="1" applyBorder="1" applyAlignment="1">
      <alignment horizontal="center" vertical="center"/>
      <protection/>
    </xf>
    <xf numFmtId="0" fontId="36" fillId="0" borderId="0" xfId="66" applyAlignment="1" applyProtection="1">
      <alignment vertical="center"/>
      <protection/>
    </xf>
    <xf numFmtId="172" fontId="0" fillId="0" borderId="0" xfId="84" applyNumberFormat="1" applyFont="1" applyAlignment="1">
      <alignment horizontal="center" vertical="center"/>
      <protection/>
    </xf>
    <xf numFmtId="0" fontId="16" fillId="0" borderId="0" xfId="48" applyFont="1" applyAlignment="1">
      <alignment horizontal="center" vertical="center"/>
      <protection locked="0"/>
    </xf>
    <xf numFmtId="172" fontId="28" fillId="0" borderId="0" xfId="84" applyNumberFormat="1" applyFont="1" applyAlignment="1">
      <alignment horizontal="center" vertical="center"/>
      <protection/>
    </xf>
    <xf numFmtId="172" fontId="29" fillId="0" borderId="8" xfId="84" applyNumberFormat="1" applyFont="1" applyBorder="1" applyAlignment="1">
      <alignment horizontal="center" vertical="center"/>
      <protection/>
    </xf>
    <xf numFmtId="0" fontId="15" fillId="0" borderId="8" xfId="76" applyFont="1" applyAlignment="1">
      <alignment horizontal="center" vertical="center"/>
      <protection/>
    </xf>
    <xf numFmtId="172" fontId="16" fillId="0" borderId="8" xfId="78" applyNumberFormat="1" applyFont="1" applyAlignment="1">
      <alignment horizontal="center" vertical="center"/>
      <protection/>
    </xf>
    <xf numFmtId="172" fontId="0" fillId="0" borderId="8" xfId="78" applyNumberFormat="1" applyFont="1" applyAlignment="1">
      <alignment horizontal="center" vertical="center"/>
      <protection/>
    </xf>
    <xf numFmtId="0" fontId="16" fillId="0" borderId="8" xfId="77" applyFont="1" applyAlignment="1">
      <alignment horizontal="center" vertical="center"/>
      <protection/>
    </xf>
    <xf numFmtId="165" fontId="16" fillId="0" borderId="36" xfId="40" applyFont="1" applyBorder="1" applyAlignment="1">
      <alignment horizontal="center" vertical="center"/>
      <protection locked="0"/>
    </xf>
    <xf numFmtId="0" fontId="8" fillId="0" borderId="0" xfId="69">
      <alignment vertical="center"/>
      <protection/>
    </xf>
    <xf numFmtId="0" fontId="12" fillId="0" borderId="0" xfId="72">
      <alignment vertical="center"/>
      <protection/>
    </xf>
    <xf numFmtId="171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0" fontId="12" fillId="0" borderId="0" xfId="73">
      <alignment vertical="center"/>
      <protection/>
    </xf>
    <xf numFmtId="0" fontId="24" fillId="19" borderId="0" xfId="93" applyFont="1" applyFill="1" applyAlignment="1">
      <alignment horizontal="center" vertical="center"/>
      <protection/>
    </xf>
    <xf numFmtId="0" fontId="16" fillId="0" borderId="0" xfId="100" applyFont="1" applyBorder="1" applyAlignment="1">
      <alignment vertical="center" wrapText="1"/>
      <protection/>
    </xf>
    <xf numFmtId="0" fontId="24" fillId="12" borderId="0" xfId="93" applyFont="1" applyFill="1" applyBorder="1" applyAlignment="1">
      <alignment horizontal="center" vertical="center"/>
      <protection/>
    </xf>
    <xf numFmtId="0" fontId="24" fillId="12" borderId="27" xfId="93" applyFont="1" applyFill="1" applyBorder="1" applyAlignment="1">
      <alignment horizontal="center" vertical="center"/>
      <protection/>
    </xf>
    <xf numFmtId="0" fontId="25" fillId="0" borderId="0" xfId="100" applyFont="1" applyBorder="1" applyAlignment="1">
      <alignment vertical="center" wrapText="1"/>
      <protection/>
    </xf>
    <xf numFmtId="0" fontId="8" fillId="0" borderId="0" xfId="97">
      <alignment vertical="center"/>
      <protection/>
    </xf>
    <xf numFmtId="0" fontId="9" fillId="0" borderId="0" xfId="95" applyAlignment="1">
      <alignment horizontal="right" vertical="center"/>
      <protection/>
    </xf>
    <xf numFmtId="0" fontId="9" fillId="0" borderId="0" xfId="95" applyAlignment="1">
      <alignment horizontal="left" vertical="center"/>
      <protection/>
    </xf>
    <xf numFmtId="0" fontId="9" fillId="0" borderId="0" xfId="68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2" fontId="16" fillId="0" borderId="36" xfId="43" applyNumberFormat="1" applyFont="1" applyBorder="1" applyAlignment="1">
      <alignment horizontal="center" vertical="center"/>
      <protection locked="0"/>
    </xf>
    <xf numFmtId="172" fontId="16" fillId="0" borderId="31" xfId="43" applyNumberFormat="1" applyFont="1" applyBorder="1" applyAlignment="1">
      <alignment horizontal="center" vertical="center"/>
      <protection locked="0"/>
    </xf>
    <xf numFmtId="165" fontId="16" fillId="0" borderId="31" xfId="40" applyFont="1" applyBorder="1" applyAlignment="1">
      <alignment horizontal="center" vertical="center"/>
      <protection locked="0"/>
    </xf>
    <xf numFmtId="172" fontId="28" fillId="6" borderId="0" xfId="84" applyNumberFormat="1" applyFont="1" applyFill="1" applyAlignment="1">
      <alignment horizontal="center" vertical="center"/>
      <protection/>
    </xf>
    <xf numFmtId="172" fontId="0" fillId="6" borderId="0" xfId="84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27" fillId="6" borderId="0" xfId="48" applyFont="1" applyFill="1" applyAlignment="1">
      <alignment horizontal="center" vertical="center"/>
      <protection locked="0"/>
    </xf>
    <xf numFmtId="0" fontId="16" fillId="6" borderId="0" xfId="48" applyFont="1" applyFill="1" applyAlignment="1">
      <alignment horizontal="center" vertical="center"/>
      <protection locked="0"/>
    </xf>
    <xf numFmtId="0" fontId="16" fillId="0" borderId="36" xfId="41" applyFont="1" applyBorder="1" applyAlignment="1">
      <alignment horizontal="center" vertical="center"/>
      <protection locked="0"/>
    </xf>
    <xf numFmtId="0" fontId="16" fillId="0" borderId="31" xfId="41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16" fillId="6" borderId="0" xfId="65" applyFont="1" applyFill="1" applyAlignment="1">
      <alignment horizontal="center" vertical="center"/>
      <protection/>
    </xf>
    <xf numFmtId="172" fontId="16" fillId="6" borderId="37" xfId="84" applyNumberFormat="1" applyFont="1" applyFill="1" applyBorder="1" applyAlignment="1">
      <alignment horizontal="center" vertical="center"/>
      <protection/>
    </xf>
    <xf numFmtId="0" fontId="28" fillId="6" borderId="0" xfId="65" applyFont="1" applyFill="1" applyAlignment="1">
      <alignment horizontal="center" vertical="center"/>
      <protection/>
    </xf>
  </cellXfs>
  <cellStyles count="10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rmal 2" xfId="82"/>
    <cellStyle name="Note" xfId="83"/>
    <cellStyle name="Number." xfId="84"/>
    <cellStyle name="Output" xfId="85"/>
    <cellStyle name="Percent" xfId="86"/>
    <cellStyle name="Percentage." xfId="87"/>
    <cellStyle name="Period Title." xfId="88"/>
    <cellStyle name="Presentation Currency." xfId="89"/>
    <cellStyle name="Presentation Date." xfId="90"/>
    <cellStyle name="Presentation Heading 1." xfId="91"/>
    <cellStyle name="Presentation Heading 2." xfId="92"/>
    <cellStyle name="Presentation Heading 3." xfId="93"/>
    <cellStyle name="Presentation Heading 4." xfId="94"/>
    <cellStyle name="Presentation Hyperlink Arrow." xfId="95"/>
    <cellStyle name="Presentation Hyperlink Check." xfId="96"/>
    <cellStyle name="Presentation Hyperlink Text." xfId="97"/>
    <cellStyle name="Presentation Model Name." xfId="98"/>
    <cellStyle name="Presentation Multiple." xfId="99"/>
    <cellStyle name="Presentation Normal." xfId="100"/>
    <cellStyle name="Presentation Number." xfId="101"/>
    <cellStyle name="Presentation Percentage." xfId="102"/>
    <cellStyle name="Presentation Period Title." xfId="103"/>
    <cellStyle name="Presentation Section Number." xfId="104"/>
    <cellStyle name="Presentation Sheet Title." xfId="105"/>
    <cellStyle name="Presentation Sub Total." xfId="106"/>
    <cellStyle name="Presentation TOC 1." xfId="107"/>
    <cellStyle name="Presentation TOC 2." xfId="108"/>
    <cellStyle name="Presentation TOC 3." xfId="109"/>
    <cellStyle name="Presentation TOC 4." xfId="110"/>
    <cellStyle name="Presentation Year." xfId="111"/>
    <cellStyle name="Section Number." xfId="112"/>
    <cellStyle name="Sheet Title." xfId="113"/>
    <cellStyle name="Sub Total." xfId="114"/>
    <cellStyle name="Title" xfId="115"/>
    <cellStyle name="Total" xfId="116"/>
    <cellStyle name="Warning Text" xfId="117"/>
    <cellStyle name="Year." xfId="118"/>
  </cellStyles>
  <dxfs count="40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6</xdr:row>
      <xdr:rowOff>0</xdr:rowOff>
    </xdr:from>
    <xdr:to>
      <xdr:col>41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86075" y="981075"/>
          <a:ext cx="2667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0</xdr:rowOff>
    </xdr:from>
    <xdr:to>
      <xdr:col>41</xdr:col>
      <xdr:colOff>0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86075" y="3114675"/>
          <a:ext cx="2667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30</xdr:col>
      <xdr:colOff>133350</xdr:colOff>
      <xdr:row>16</xdr:row>
      <xdr:rowOff>0</xdr:rowOff>
    </xdr:from>
    <xdr:to>
      <xdr:col>31</xdr:col>
      <xdr:colOff>0</xdr:colOff>
      <xdr:row>22</xdr:row>
      <xdr:rowOff>0</xdr:rowOff>
    </xdr:to>
    <xdr:sp>
      <xdr:nvSpPr>
        <xdr:cNvPr id="3" name="Straight Arrow Connector 3"/>
        <xdr:cNvSpPr>
          <a:spLocks/>
        </xdr:cNvSpPr>
      </xdr:nvSpPr>
      <xdr:spPr>
        <a:xfrm rot="5400000" flipH="1" flipV="1">
          <a:off x="4219575" y="2314575"/>
          <a:ext cx="0" cy="8001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stpracticemodelling.com/training_models_disclaime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1.v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5.v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M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1" ht="10.5"/>
    <row r="2" ht="10.5"/>
    <row r="3" ht="10.5"/>
    <row r="4" ht="10.5"/>
    <row r="5" ht="10.5"/>
    <row r="6" ht="10.5"/>
    <row r="7" ht="10.5"/>
    <row r="8" ht="10.5"/>
    <row r="9" ht="18">
      <c r="C9" s="1" t="s">
        <v>0</v>
      </c>
    </row>
    <row r="10" ht="15">
      <c r="C10" s="3" t="str">
        <f>"SMA 13. Multiple Workbooks - Best Practice Model Example 2"&amp;Err_Chks_Msg&amp;Sens_Chks_Msg&amp;Alt_Chks_Msg</f>
        <v>SMA 13. Multiple Workbooks - Best Practice Model Example 2</v>
      </c>
    </row>
    <row r="11" spans="3:7" ht="10.5">
      <c r="C11" s="151" t="s">
        <v>1</v>
      </c>
      <c r="D11" s="151"/>
      <c r="E11" s="151"/>
      <c r="F11" s="151"/>
      <c r="G11" s="151"/>
    </row>
    <row r="12" ht="10.5"/>
    <row r="13" ht="10.5"/>
    <row r="14" ht="10.5"/>
    <row r="15" ht="10.5"/>
    <row r="16" ht="10.5"/>
    <row r="17" ht="10.5"/>
    <row r="18" ht="10.5"/>
    <row r="19" ht="10.5">
      <c r="C19" s="4" t="s">
        <v>2</v>
      </c>
    </row>
    <row r="20" ht="10.5"/>
    <row r="21" ht="10.5">
      <c r="C21" s="4" t="s">
        <v>3</v>
      </c>
    </row>
    <row r="22" spans="3:4" ht="10.5">
      <c r="C22" s="5" t="s">
        <v>4</v>
      </c>
      <c r="D22" s="6" t="s">
        <v>5</v>
      </c>
    </row>
    <row r="23" spans="3:4" ht="10.5">
      <c r="C23" s="5" t="s">
        <v>4</v>
      </c>
      <c r="D23" s="6" t="s">
        <v>6</v>
      </c>
    </row>
    <row r="24" spans="3:13" ht="10.5">
      <c r="C24" s="5" t="s">
        <v>4</v>
      </c>
      <c r="D24" s="6" t="s">
        <v>7</v>
      </c>
      <c r="E24" s="7"/>
      <c r="F24" s="7"/>
      <c r="G24" s="7"/>
      <c r="H24" s="7"/>
      <c r="I24" s="7"/>
      <c r="J24" s="7"/>
      <c r="K24" s="7"/>
      <c r="L24" s="7"/>
      <c r="M24" s="7"/>
    </row>
  </sheetData>
  <sheetProtection/>
  <mergeCells count="1">
    <mergeCell ref="C11:G11"/>
  </mergeCells>
  <hyperlinks>
    <hyperlink ref="D24:M24" r:id="rId1" tooltip="View the training model usage terms and conditions." display="Use of this model is subject to the training model terms and conditions on the Best Practice Modelling website."/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55" customWidth="1"/>
    <col min="6" max="254" width="11.83203125" style="55" customWidth="1"/>
    <col min="255" max="16384" width="9.33203125" style="55" customWidth="1"/>
  </cols>
  <sheetData>
    <row r="1" ht="18">
      <c r="B1" s="56" t="s">
        <v>51</v>
      </c>
    </row>
    <row r="2" ht="15">
      <c r="B2" s="57" t="str">
        <f>Model_Name</f>
        <v>SMA 13. Multiple Workbooks - Best Practice Model Example 2</v>
      </c>
    </row>
    <row r="3" spans="2:6" ht="10.5">
      <c r="B3" s="179" t="s">
        <v>1</v>
      </c>
      <c r="C3" s="179"/>
      <c r="D3" s="179"/>
      <c r="E3" s="179"/>
      <c r="F3" s="179"/>
    </row>
    <row r="4" spans="1:6" ht="12.75">
      <c r="A4" s="58" t="s">
        <v>10</v>
      </c>
      <c r="B4" s="59" t="s">
        <v>24</v>
      </c>
      <c r="C4" s="60" t="s">
        <v>25</v>
      </c>
      <c r="D4" s="61" t="s">
        <v>36</v>
      </c>
      <c r="E4" s="61" t="s">
        <v>37</v>
      </c>
      <c r="F4" s="62" t="s">
        <v>38</v>
      </c>
    </row>
    <row r="5" ht="10.5"/>
    <row r="6" spans="2:17" ht="10.5">
      <c r="B6" s="70">
        <f>IF(TS_Pers_In_Yr=1,"",TS_Per_Type_Name&amp;" Ending")</f>
      </c>
      <c r="J6" s="71" t="str">
        <f aca="true" t="shared" si="0" ref="J6:Q6">IF(TS_Pers_In_Yr=1,"",LEFT(INDEX(LU_Mth_Names,MONTH(J9)),3)&amp;"-"&amp;RIGHT(YEAR(J9),2))&amp;" "</f>
        <v> </v>
      </c>
      <c r="K6" s="71" t="str">
        <f t="shared" si="0"/>
        <v> </v>
      </c>
      <c r="L6" s="71" t="str">
        <f t="shared" si="0"/>
        <v> </v>
      </c>
      <c r="M6" s="71" t="str">
        <f t="shared" si="0"/>
        <v> </v>
      </c>
      <c r="N6" s="71" t="str">
        <f t="shared" si="0"/>
        <v> </v>
      </c>
      <c r="O6" s="71" t="str">
        <f t="shared" si="0"/>
        <v> </v>
      </c>
      <c r="P6" s="71" t="str">
        <f t="shared" si="0"/>
        <v> </v>
      </c>
      <c r="Q6" s="71" t="str">
        <f t="shared" si="0"/>
        <v> </v>
      </c>
    </row>
    <row r="7" spans="2:17" ht="10.5">
      <c r="B7" s="72" t="str">
        <f>IF(TS_Pers_In_Yr=1,Yr_Name&amp;" Ending "&amp;DAY(TS_Per_1_End_Date)&amp;" "&amp;INDEX(LU_Mth_Names,DD_TS_Fin_YE_Mth),TS_Per_Type_Name)</f>
        <v>Year Ending 31 December</v>
      </c>
      <c r="C7" s="73"/>
      <c r="D7" s="73"/>
      <c r="E7" s="73"/>
      <c r="F7" s="73"/>
      <c r="G7" s="73"/>
      <c r="H7" s="73"/>
      <c r="I7" s="73"/>
      <c r="J7" s="74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74" t="str">
        <f t="shared" si="1"/>
        <v>2011 (F) </v>
      </c>
      <c r="L7" s="74" t="str">
        <f t="shared" si="1"/>
        <v>2012 (F) </v>
      </c>
      <c r="M7" s="74" t="str">
        <f t="shared" si="1"/>
        <v>2013 (F) </v>
      </c>
      <c r="N7" s="74" t="str">
        <f t="shared" si="1"/>
        <v>2014 (F) </v>
      </c>
      <c r="O7" s="74" t="str">
        <f t="shared" si="1"/>
        <v>2015 (F) </v>
      </c>
      <c r="P7" s="74" t="str">
        <f t="shared" si="1"/>
        <v>2016 (F) </v>
      </c>
      <c r="Q7" s="74" t="str">
        <f t="shared" si="1"/>
        <v>2017 (F) </v>
      </c>
    </row>
    <row r="8" spans="2:17" ht="10.5" hidden="1" outlineLevel="2">
      <c r="B8" s="65" t="s">
        <v>106</v>
      </c>
      <c r="J8" s="75">
        <f aca="true" t="shared" si="2" ref="J8:Q8">IF(J12=1,TS_Start_Date,I9+1)</f>
        <v>40179</v>
      </c>
      <c r="K8" s="75">
        <f t="shared" si="2"/>
        <v>40544</v>
      </c>
      <c r="L8" s="75">
        <f t="shared" si="2"/>
        <v>40909</v>
      </c>
      <c r="M8" s="75">
        <f t="shared" si="2"/>
        <v>41275</v>
      </c>
      <c r="N8" s="75">
        <f t="shared" si="2"/>
        <v>41640</v>
      </c>
      <c r="O8" s="75">
        <f t="shared" si="2"/>
        <v>42005</v>
      </c>
      <c r="P8" s="75">
        <f t="shared" si="2"/>
        <v>42370</v>
      </c>
      <c r="Q8" s="75">
        <f t="shared" si="2"/>
        <v>42736</v>
      </c>
    </row>
    <row r="9" spans="2:17" ht="10.5" hidden="1" outlineLevel="2">
      <c r="B9" s="65" t="s">
        <v>107</v>
      </c>
      <c r="J9" s="75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75">
        <f t="shared" si="3"/>
        <v>40908</v>
      </c>
      <c r="L9" s="75">
        <f t="shared" si="3"/>
        <v>41274</v>
      </c>
      <c r="M9" s="75">
        <f t="shared" si="3"/>
        <v>41639</v>
      </c>
      <c r="N9" s="75">
        <f t="shared" si="3"/>
        <v>42004</v>
      </c>
      <c r="O9" s="75">
        <f t="shared" si="3"/>
        <v>42369</v>
      </c>
      <c r="P9" s="75">
        <f t="shared" si="3"/>
        <v>42735</v>
      </c>
      <c r="Q9" s="75">
        <f t="shared" si="3"/>
        <v>43100</v>
      </c>
    </row>
    <row r="10" spans="2:17" ht="10.5" hidden="1" outlineLevel="2">
      <c r="B10" s="65" t="s">
        <v>108</v>
      </c>
      <c r="J10" s="76">
        <f aca="true" t="shared" si="4" ref="J10:Q10">YEAR(TS_Per_1_FY_End_Date)+INT((TS_Per_1_Number+J12-2)/TS_Pers_In_Yr)</f>
        <v>2010</v>
      </c>
      <c r="K10" s="76">
        <f t="shared" si="4"/>
        <v>2011</v>
      </c>
      <c r="L10" s="76">
        <f t="shared" si="4"/>
        <v>2012</v>
      </c>
      <c r="M10" s="76">
        <f t="shared" si="4"/>
        <v>2013</v>
      </c>
      <c r="N10" s="76">
        <f t="shared" si="4"/>
        <v>2014</v>
      </c>
      <c r="O10" s="76">
        <f t="shared" si="4"/>
        <v>2015</v>
      </c>
      <c r="P10" s="76">
        <f t="shared" si="4"/>
        <v>2016</v>
      </c>
      <c r="Q10" s="76">
        <f t="shared" si="4"/>
        <v>2017</v>
      </c>
    </row>
    <row r="11" spans="2:17" ht="10.5" hidden="1" outlineLevel="2">
      <c r="B11" s="65" t="s">
        <v>109</v>
      </c>
      <c r="J11" s="77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77" t="str">
        <f t="shared" si="5"/>
        <v>Year </v>
      </c>
      <c r="L11" s="77" t="str">
        <f t="shared" si="5"/>
        <v>Year </v>
      </c>
      <c r="M11" s="77" t="str">
        <f t="shared" si="5"/>
        <v>Year </v>
      </c>
      <c r="N11" s="77" t="str">
        <f t="shared" si="5"/>
        <v>Year </v>
      </c>
      <c r="O11" s="77" t="str">
        <f t="shared" si="5"/>
        <v>Year </v>
      </c>
      <c r="P11" s="77" t="str">
        <f t="shared" si="5"/>
        <v>Year </v>
      </c>
      <c r="Q11" s="77" t="str">
        <f t="shared" si="5"/>
        <v>Year </v>
      </c>
    </row>
    <row r="12" spans="2:17" ht="10.5" hidden="1" outlineLevel="2">
      <c r="B12" s="65" t="s">
        <v>110</v>
      </c>
      <c r="J12" s="78">
        <f>COLUMN(J12)-COLUMN($J12)+1</f>
        <v>1</v>
      </c>
      <c r="K12" s="78">
        <f aca="true" t="shared" si="6" ref="K12:Q12">COLUMN(K12)-COLUMN($J12)+1</f>
        <v>2</v>
      </c>
      <c r="L12" s="78">
        <f t="shared" si="6"/>
        <v>3</v>
      </c>
      <c r="M12" s="78">
        <f t="shared" si="6"/>
        <v>4</v>
      </c>
      <c r="N12" s="78">
        <f t="shared" si="6"/>
        <v>5</v>
      </c>
      <c r="O12" s="78">
        <f t="shared" si="6"/>
        <v>6</v>
      </c>
      <c r="P12" s="78">
        <f t="shared" si="6"/>
        <v>7</v>
      </c>
      <c r="Q12" s="78">
        <f t="shared" si="6"/>
        <v>8</v>
      </c>
    </row>
    <row r="13" spans="2:17" ht="10.5" hidden="1" outlineLevel="2">
      <c r="B13" s="79" t="s">
        <v>111</v>
      </c>
      <c r="C13" s="73"/>
      <c r="D13" s="73"/>
      <c r="E13" s="73"/>
      <c r="F13" s="73"/>
      <c r="G13" s="73"/>
      <c r="H13" s="73"/>
      <c r="I13" s="73"/>
      <c r="J13" s="80" t="str">
        <f>J10&amp;"-"&amp;J11</f>
        <v>2010-Year </v>
      </c>
      <c r="K13" s="80" t="str">
        <f aca="true" t="shared" si="7" ref="K13:Q13">K10&amp;"-"&amp;K11</f>
        <v>2011-Year </v>
      </c>
      <c r="L13" s="80" t="str">
        <f t="shared" si="7"/>
        <v>2012-Year </v>
      </c>
      <c r="M13" s="80" t="str">
        <f t="shared" si="7"/>
        <v>2013-Year </v>
      </c>
      <c r="N13" s="80" t="str">
        <f t="shared" si="7"/>
        <v>2014-Year </v>
      </c>
      <c r="O13" s="80" t="str">
        <f t="shared" si="7"/>
        <v>2015-Year </v>
      </c>
      <c r="P13" s="80" t="str">
        <f t="shared" si="7"/>
        <v>2016-Year </v>
      </c>
      <c r="Q13" s="80" t="str">
        <f t="shared" si="7"/>
        <v>2017-Year </v>
      </c>
    </row>
    <row r="14" ht="10.5" collapsed="1"/>
    <row r="15" ht="10.5"/>
    <row r="16" ht="12.75" customHeight="1">
      <c r="B16" s="81" t="s">
        <v>112</v>
      </c>
    </row>
    <row r="17" spans="10:11" ht="11.25" thickBot="1">
      <c r="J17" s="82" t="s">
        <v>113</v>
      </c>
      <c r="K17" s="83" t="s">
        <v>114</v>
      </c>
    </row>
    <row r="18" spans="3:17" ht="10.5">
      <c r="C18" s="84" t="s">
        <v>115</v>
      </c>
      <c r="J18" s="85">
        <v>125</v>
      </c>
      <c r="K18" s="86">
        <v>0.025</v>
      </c>
      <c r="L18" s="87">
        <v>0.025</v>
      </c>
      <c r="M18" s="87">
        <v>0.025</v>
      </c>
      <c r="N18" s="87">
        <v>0.025</v>
      </c>
      <c r="O18" s="87">
        <v>0.025</v>
      </c>
      <c r="P18" s="87">
        <v>0.025</v>
      </c>
      <c r="Q18" s="87">
        <v>0.025</v>
      </c>
    </row>
    <row r="19" spans="3:17" ht="10.5">
      <c r="C19" s="84" t="s">
        <v>116</v>
      </c>
      <c r="J19" s="85">
        <v>25</v>
      </c>
      <c r="K19" s="86">
        <v>0.025</v>
      </c>
      <c r="L19" s="87">
        <v>0.025</v>
      </c>
      <c r="M19" s="87">
        <v>0.025</v>
      </c>
      <c r="N19" s="87">
        <v>0.025</v>
      </c>
      <c r="O19" s="87">
        <v>0.025</v>
      </c>
      <c r="P19" s="87">
        <v>0.025</v>
      </c>
      <c r="Q19" s="87">
        <v>0.025</v>
      </c>
    </row>
    <row r="20" spans="3:17" ht="10.5">
      <c r="C20" s="84" t="s">
        <v>117</v>
      </c>
      <c r="J20" s="85">
        <v>40</v>
      </c>
      <c r="K20" s="86">
        <v>0.025</v>
      </c>
      <c r="L20" s="87">
        <v>0.025</v>
      </c>
      <c r="M20" s="87">
        <v>0.025</v>
      </c>
      <c r="N20" s="87">
        <v>0.025</v>
      </c>
      <c r="O20" s="87">
        <v>0.025</v>
      </c>
      <c r="P20" s="87">
        <v>0.025</v>
      </c>
      <c r="Q20" s="87">
        <v>0.025</v>
      </c>
    </row>
    <row r="21" spans="3:17" ht="10.5">
      <c r="C21" s="84" t="s">
        <v>118</v>
      </c>
      <c r="J21" s="85">
        <v>15</v>
      </c>
      <c r="K21" s="86">
        <v>0.025</v>
      </c>
      <c r="L21" s="87">
        <v>0.025</v>
      </c>
      <c r="M21" s="87">
        <v>0.025</v>
      </c>
      <c r="N21" s="87">
        <v>0.025</v>
      </c>
      <c r="O21" s="87">
        <v>0.025</v>
      </c>
      <c r="P21" s="87">
        <v>0.025</v>
      </c>
      <c r="Q21" s="87">
        <v>0.025</v>
      </c>
    </row>
    <row r="22" spans="3:17" ht="10.5">
      <c r="C22" s="84" t="s">
        <v>119</v>
      </c>
      <c r="J22" s="85">
        <v>2.5</v>
      </c>
      <c r="K22" s="86">
        <v>0.025</v>
      </c>
      <c r="L22" s="87">
        <v>0.025</v>
      </c>
      <c r="M22" s="87">
        <v>0.025</v>
      </c>
      <c r="N22" s="87">
        <v>0.025</v>
      </c>
      <c r="O22" s="87">
        <v>0.025</v>
      </c>
      <c r="P22" s="87">
        <v>0.025</v>
      </c>
      <c r="Q22" s="87">
        <v>0.025</v>
      </c>
    </row>
    <row r="23" ht="10.5"/>
    <row r="24" ht="10.5">
      <c r="C24" s="88" t="s">
        <v>30</v>
      </c>
    </row>
    <row r="25" spans="3:4" ht="10.5">
      <c r="C25" s="89">
        <v>1</v>
      </c>
      <c r="D25" s="90" t="str">
        <f>"Revenue and expense base amount assumptions are specified in "&amp;INDEX(LU_Denom,DD_TS_Denom)&amp;"."</f>
        <v>Revenue and expense base amount assumptions are specified in $Millions.</v>
      </c>
    </row>
    <row r="26" spans="3:4" ht="10.5">
      <c r="C26" s="89">
        <v>2</v>
      </c>
      <c r="D26" s="84" t="s">
        <v>120</v>
      </c>
    </row>
    <row r="27" ht="10.5"/>
    <row r="28" ht="10.5"/>
    <row r="29" ht="12.75">
      <c r="B29" s="81" t="s">
        <v>121</v>
      </c>
    </row>
    <row r="30" spans="9:10" ht="11.25" thickBot="1">
      <c r="I30" s="82" t="s">
        <v>122</v>
      </c>
      <c r="J30" s="88" t="s">
        <v>123</v>
      </c>
    </row>
    <row r="31" spans="3:17" ht="10.5">
      <c r="C31" s="84" t="s">
        <v>124</v>
      </c>
      <c r="I31" s="85">
        <v>21</v>
      </c>
      <c r="J31" s="91">
        <v>30</v>
      </c>
      <c r="K31" s="91">
        <v>30</v>
      </c>
      <c r="L31" s="91">
        <v>30</v>
      </c>
      <c r="M31" s="91">
        <v>30</v>
      </c>
      <c r="N31" s="91">
        <v>30</v>
      </c>
      <c r="O31" s="91">
        <v>30</v>
      </c>
      <c r="P31" s="91">
        <v>30</v>
      </c>
      <c r="Q31" s="91">
        <v>30</v>
      </c>
    </row>
    <row r="32" spans="3:17" ht="10.5">
      <c r="C32" s="84" t="s">
        <v>125</v>
      </c>
      <c r="I32" s="85">
        <v>16</v>
      </c>
      <c r="J32" s="91">
        <v>45</v>
      </c>
      <c r="K32" s="91">
        <v>45</v>
      </c>
      <c r="L32" s="91">
        <v>45</v>
      </c>
      <c r="M32" s="91">
        <v>45</v>
      </c>
      <c r="N32" s="91">
        <v>45</v>
      </c>
      <c r="O32" s="91">
        <v>45</v>
      </c>
      <c r="P32" s="91">
        <v>45</v>
      </c>
      <c r="Q32" s="91">
        <v>45</v>
      </c>
    </row>
    <row r="33" ht="10.5"/>
    <row r="34" spans="3:17" ht="10.5">
      <c r="C34" s="84" t="s">
        <v>126</v>
      </c>
      <c r="I34" s="92">
        <f>IF(ISERROR(SUM(J34:Q34)),1,MIN(SUM(J34:Q34),1))</f>
        <v>0</v>
      </c>
      <c r="J34" s="93">
        <f>IF(ISERROR(SUM(J31:J32)),1,IF(MAX(J31:J32)&gt;J$9-J$8+1,1,0))</f>
        <v>0</v>
      </c>
      <c r="K34" s="93">
        <f aca="true" t="shared" si="8" ref="K34:Q34">IF(ISERROR(SUM(K31:K32)),1,IF(MAX(K31:K32)&gt;K$9-K$8+1,1,0))</f>
        <v>0</v>
      </c>
      <c r="L34" s="93">
        <f t="shared" si="8"/>
        <v>0</v>
      </c>
      <c r="M34" s="93">
        <f t="shared" si="8"/>
        <v>0</v>
      </c>
      <c r="N34" s="93">
        <f t="shared" si="8"/>
        <v>0</v>
      </c>
      <c r="O34" s="93">
        <f t="shared" si="8"/>
        <v>0</v>
      </c>
      <c r="P34" s="93">
        <f t="shared" si="8"/>
        <v>0</v>
      </c>
      <c r="Q34" s="93">
        <f t="shared" si="8"/>
        <v>0</v>
      </c>
    </row>
    <row r="35" ht="10.5"/>
    <row r="36" ht="10.5">
      <c r="C36" s="88" t="s">
        <v>30</v>
      </c>
    </row>
    <row r="37" spans="3:4" ht="10.5">
      <c r="C37" s="89">
        <v>1</v>
      </c>
      <c r="D37" s="90" t="str">
        <f>"Opening balance assumptions are specified in "&amp;INDEX(LU_Denom,DD_TS_Denom)&amp;"."</f>
        <v>Opening balance assumptions are specified in $Millions.</v>
      </c>
    </row>
    <row r="38" spans="3:4" ht="10.5">
      <c r="C38" s="89">
        <v>2</v>
      </c>
      <c r="D38" s="84" t="s">
        <v>127</v>
      </c>
    </row>
    <row r="39" ht="10.5"/>
    <row r="40" ht="10.5"/>
    <row r="41" ht="12.75">
      <c r="B41" s="81" t="s">
        <v>128</v>
      </c>
    </row>
    <row r="42" spans="9:10" ht="11.25" thickBot="1">
      <c r="I42" s="82" t="s">
        <v>122</v>
      </c>
      <c r="J42" s="83" t="s">
        <v>129</v>
      </c>
    </row>
    <row r="43" spans="3:17" ht="10.5">
      <c r="C43" s="84" t="s">
        <v>47</v>
      </c>
      <c r="I43" s="85">
        <v>145</v>
      </c>
      <c r="J43" s="86">
        <v>0.9</v>
      </c>
      <c r="K43" s="87">
        <v>0.9</v>
      </c>
      <c r="L43" s="87">
        <v>0.9</v>
      </c>
      <c r="M43" s="87">
        <v>0.9</v>
      </c>
      <c r="N43" s="87">
        <v>0.9</v>
      </c>
      <c r="O43" s="87">
        <v>0.9</v>
      </c>
      <c r="P43" s="87">
        <v>0.9</v>
      </c>
      <c r="Q43" s="87">
        <v>0.9</v>
      </c>
    </row>
    <row r="44" spans="3:17" ht="10.5">
      <c r="C44" s="84" t="s">
        <v>130</v>
      </c>
      <c r="I44" s="85">
        <v>11.5</v>
      </c>
      <c r="J44" s="86">
        <v>0.25</v>
      </c>
      <c r="K44" s="86">
        <v>0.25</v>
      </c>
      <c r="L44" s="86">
        <v>0.25</v>
      </c>
      <c r="M44" s="86">
        <v>0.25</v>
      </c>
      <c r="N44" s="86">
        <v>0.25</v>
      </c>
      <c r="O44" s="86">
        <v>0.25</v>
      </c>
      <c r="P44" s="86">
        <v>0.25</v>
      </c>
      <c r="Q44" s="86">
        <v>0.25</v>
      </c>
    </row>
    <row r="46" ht="10.5">
      <c r="C46" s="88" t="s">
        <v>30</v>
      </c>
    </row>
    <row r="47" spans="3:4" ht="10.5">
      <c r="C47" s="89">
        <v>1</v>
      </c>
      <c r="D47" s="90" t="str">
        <f>"Opening balance assumptions are specified in "&amp;INDEX(LU_Denom,DD_TS_Denom)&amp;"."</f>
        <v>Opening balance assumptions are specified in $Millions.</v>
      </c>
    </row>
  </sheetData>
  <sheetProtection/>
  <mergeCells count="1">
    <mergeCell ref="B3:F3"/>
  </mergeCells>
  <conditionalFormatting sqref="I34:Q34">
    <cfRule type="cellIs" priority="1" dxfId="20" operator="notEqual" stopIfTrue="1">
      <formula>0</formula>
    </cfRule>
  </conditionalFormatting>
  <dataValidations count="4">
    <dataValidation type="decimal" operator="greaterThanOrEqual" allowBlank="1" showErrorMessage="1" errorTitle="Invalid Assumption" error="Assumption must be a value greater than or equal to zero." sqref="J31:Q32">
      <formula1>0</formula1>
    </dataValidation>
    <dataValidation type="custom" showErrorMessage="1" errorTitle="Invalid Assumption" error="Assumption must be a number." sqref="J43:Q44 K18:Q22">
      <formula1>NOT(ISERROR(J43/1))</formula1>
    </dataValidation>
    <dataValidation type="decimal" operator="greaterThanOrEqual" allowBlank="1" showInputMessage="1" showErrorMessage="1" promptTitle="Opening Balance" prompt="Opening balance as at the model start date." errorTitle="Invalid Assumption" error="Assumption must be a value greater than or equal to zero." sqref="I31:I32 I43:I44">
      <formula1>0</formula1>
    </dataValidation>
    <dataValidation type="decimal" operator="greaterThanOrEqual" allowBlank="1" showInputMessage="1" showErrorMessage="1" promptTitle="Base Amount" prompt="The revenue or expense amount in the first time series period." errorTitle="Invalid Assumption" error="Assumption must be a value greater than or equal to zero." sqref="J18:J22">
      <formula1>0</formula1>
    </dataValidation>
  </dataValidations>
  <hyperlinks>
    <hyperlink ref="B3" location="HL_Home" tooltip="Go to Table of Contents" display="HL_Home"/>
    <hyperlink ref="A4" location="$B$14" tooltip="Go to Top of Sheet" display="$B$14"/>
    <hyperlink ref="B4" location="HL_Sheet_Main_5" tooltip="Go to Previous Sheet" display="HL_Sheet_Main_5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300" verticalDpi="300" orientation="landscape" paperSize="9" r:id="rId4"/>
  <headerFooter alignWithMargins="0">
    <oddFooter>&amp;L&amp;F
&amp;A
Printed: &amp;T on &amp;D&amp;CPage &amp;P of &amp;N&amp;R&amp;G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131</v>
      </c>
    </row>
    <row r="10" ht="16.5">
      <c r="C10" s="21" t="s">
        <v>132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26</v>
      </c>
    </row>
    <row r="18" ht="10.5">
      <c r="C18" s="24" t="s">
        <v>133</v>
      </c>
    </row>
    <row r="19" ht="10.5">
      <c r="C19" s="24"/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2" tooltip="Go to Previous Sheet" display="HL_Sheet_Main_12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134</v>
      </c>
    </row>
    <row r="10" ht="16.5">
      <c r="C10" s="21" t="s">
        <v>135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56</v>
      </c>
    </row>
    <row r="18" ht="10.5">
      <c r="C18" s="24" t="s">
        <v>136</v>
      </c>
    </row>
    <row r="19" ht="10.5">
      <c r="C19" s="24"/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17" tooltip="Go to Next Sheet" display="HL_Sheet_Main_17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2" customWidth="1"/>
    <col min="6" max="254" width="11.83203125" style="2" customWidth="1"/>
    <col min="255" max="16384" width="9.33203125" style="2" customWidth="1"/>
  </cols>
  <sheetData>
    <row r="1" ht="18">
      <c r="B1" s="1" t="s">
        <v>131</v>
      </c>
    </row>
    <row r="2" ht="15">
      <c r="B2" s="8" t="str">
        <f>Model_Name</f>
        <v>SMA 13. Multiple Workbooks - Best Practice Model Example 2</v>
      </c>
    </row>
    <row r="3" spans="2:6" ht="10.5">
      <c r="B3" s="151" t="s">
        <v>1</v>
      </c>
      <c r="C3" s="151"/>
      <c r="D3" s="151"/>
      <c r="E3" s="151"/>
      <c r="F3" s="151"/>
    </row>
    <row r="4" spans="1:6" ht="12.75">
      <c r="A4" s="94" t="s">
        <v>10</v>
      </c>
      <c r="B4" s="22" t="s">
        <v>24</v>
      </c>
      <c r="C4" s="23" t="s">
        <v>25</v>
      </c>
      <c r="D4" s="95" t="s">
        <v>36</v>
      </c>
      <c r="E4" s="95" t="s">
        <v>37</v>
      </c>
      <c r="F4" s="96" t="s">
        <v>38</v>
      </c>
    </row>
    <row r="5" ht="10.5"/>
    <row r="6" spans="2:17" ht="10.5">
      <c r="B6" s="97">
        <f>IF(TS_Pers_In_Yr=1,"",TS_Per_Type_Name&amp;" Ending")</f>
      </c>
      <c r="J6" s="98" t="str">
        <f aca="true" t="shared" si="0" ref="J6:Q6">IF(TS_Pers_In_Yr=1,"",LEFT(INDEX(LU_Mth_Names,MONTH(J9)),3)&amp;"-"&amp;RIGHT(YEAR(J9),2))&amp;" "</f>
        <v> </v>
      </c>
      <c r="K6" s="98" t="str">
        <f t="shared" si="0"/>
        <v> </v>
      </c>
      <c r="L6" s="98" t="str">
        <f t="shared" si="0"/>
        <v> </v>
      </c>
      <c r="M6" s="98" t="str">
        <f t="shared" si="0"/>
        <v> </v>
      </c>
      <c r="N6" s="98" t="str">
        <f t="shared" si="0"/>
        <v> </v>
      </c>
      <c r="O6" s="98" t="str">
        <f t="shared" si="0"/>
        <v> </v>
      </c>
      <c r="P6" s="98" t="str">
        <f t="shared" si="0"/>
        <v> </v>
      </c>
      <c r="Q6" s="98" t="str">
        <f t="shared" si="0"/>
        <v> </v>
      </c>
    </row>
    <row r="7" spans="2:17" ht="10.5">
      <c r="B7" s="99" t="str">
        <f>IF(TS_Pers_In_Yr=1,Yr_Name&amp;" Ending "&amp;DAY(TS_Per_1_End_Date)&amp;" "&amp;INDEX(LU_Mth_Names,DD_TS_Fin_YE_Mth),TS_Per_Type_Name)</f>
        <v>Year Ending 31 December</v>
      </c>
      <c r="C7" s="12"/>
      <c r="D7" s="12"/>
      <c r="E7" s="12"/>
      <c r="F7" s="12"/>
      <c r="G7" s="12"/>
      <c r="H7" s="12"/>
      <c r="I7" s="12"/>
      <c r="J7" s="100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100" t="str">
        <f t="shared" si="1"/>
        <v>2011 (F) </v>
      </c>
      <c r="L7" s="100" t="str">
        <f t="shared" si="1"/>
        <v>2012 (F) </v>
      </c>
      <c r="M7" s="100" t="str">
        <f t="shared" si="1"/>
        <v>2013 (F) </v>
      </c>
      <c r="N7" s="100" t="str">
        <f t="shared" si="1"/>
        <v>2014 (F) </v>
      </c>
      <c r="O7" s="100" t="str">
        <f t="shared" si="1"/>
        <v>2015 (F) </v>
      </c>
      <c r="P7" s="100" t="str">
        <f t="shared" si="1"/>
        <v>2016 (F) </v>
      </c>
      <c r="Q7" s="100" t="str">
        <f t="shared" si="1"/>
        <v>2017 (F) </v>
      </c>
    </row>
    <row r="8" spans="2:17" ht="10.5" hidden="1" outlineLevel="2">
      <c r="B8" s="24" t="s">
        <v>106</v>
      </c>
      <c r="J8" s="101">
        <f aca="true" t="shared" si="2" ref="J8:Q8">IF(J12=1,TS_Start_Date,I9+1)</f>
        <v>40179</v>
      </c>
      <c r="K8" s="101">
        <f t="shared" si="2"/>
        <v>40544</v>
      </c>
      <c r="L8" s="101">
        <f t="shared" si="2"/>
        <v>40909</v>
      </c>
      <c r="M8" s="101">
        <f t="shared" si="2"/>
        <v>41275</v>
      </c>
      <c r="N8" s="101">
        <f t="shared" si="2"/>
        <v>41640</v>
      </c>
      <c r="O8" s="101">
        <f t="shared" si="2"/>
        <v>42005</v>
      </c>
      <c r="P8" s="101">
        <f t="shared" si="2"/>
        <v>42370</v>
      </c>
      <c r="Q8" s="101">
        <f t="shared" si="2"/>
        <v>42736</v>
      </c>
    </row>
    <row r="9" spans="2:17" ht="10.5" hidden="1" outlineLevel="2">
      <c r="B9" s="24" t="s">
        <v>107</v>
      </c>
      <c r="J9" s="101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101">
        <f t="shared" si="3"/>
        <v>40908</v>
      </c>
      <c r="L9" s="101">
        <f t="shared" si="3"/>
        <v>41274</v>
      </c>
      <c r="M9" s="101">
        <f t="shared" si="3"/>
        <v>41639</v>
      </c>
      <c r="N9" s="101">
        <f t="shared" si="3"/>
        <v>42004</v>
      </c>
      <c r="O9" s="101">
        <f t="shared" si="3"/>
        <v>42369</v>
      </c>
      <c r="P9" s="101">
        <f t="shared" si="3"/>
        <v>42735</v>
      </c>
      <c r="Q9" s="101">
        <f t="shared" si="3"/>
        <v>43100</v>
      </c>
    </row>
    <row r="10" spans="2:17" ht="10.5" hidden="1" outlineLevel="2">
      <c r="B10" s="24" t="s">
        <v>108</v>
      </c>
      <c r="J10" s="102">
        <f aca="true" t="shared" si="4" ref="J10:Q10">YEAR(TS_Per_1_FY_End_Date)+INT((TS_Per_1_Number+J12-2)/TS_Pers_In_Yr)</f>
        <v>2010</v>
      </c>
      <c r="K10" s="102">
        <f t="shared" si="4"/>
        <v>2011</v>
      </c>
      <c r="L10" s="102">
        <f t="shared" si="4"/>
        <v>2012</v>
      </c>
      <c r="M10" s="102">
        <f t="shared" si="4"/>
        <v>2013</v>
      </c>
      <c r="N10" s="102">
        <f t="shared" si="4"/>
        <v>2014</v>
      </c>
      <c r="O10" s="102">
        <f t="shared" si="4"/>
        <v>2015</v>
      </c>
      <c r="P10" s="102">
        <f t="shared" si="4"/>
        <v>2016</v>
      </c>
      <c r="Q10" s="102">
        <f t="shared" si="4"/>
        <v>2017</v>
      </c>
    </row>
    <row r="11" spans="2:17" ht="10.5" hidden="1" outlineLevel="2">
      <c r="B11" s="24" t="s">
        <v>109</v>
      </c>
      <c r="J11" s="103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3" t="str">
        <f t="shared" si="5"/>
        <v>Year </v>
      </c>
      <c r="L11" s="103" t="str">
        <f t="shared" si="5"/>
        <v>Year </v>
      </c>
      <c r="M11" s="103" t="str">
        <f t="shared" si="5"/>
        <v>Year </v>
      </c>
      <c r="N11" s="103" t="str">
        <f t="shared" si="5"/>
        <v>Year </v>
      </c>
      <c r="O11" s="103" t="str">
        <f t="shared" si="5"/>
        <v>Year </v>
      </c>
      <c r="P11" s="103" t="str">
        <f t="shared" si="5"/>
        <v>Year </v>
      </c>
      <c r="Q11" s="103" t="str">
        <f t="shared" si="5"/>
        <v>Year </v>
      </c>
    </row>
    <row r="12" spans="2:17" ht="10.5" hidden="1" outlineLevel="2">
      <c r="B12" s="24" t="s">
        <v>110</v>
      </c>
      <c r="J12" s="104">
        <f>COLUMN(J12)-COLUMN($J12)+1</f>
        <v>1</v>
      </c>
      <c r="K12" s="104">
        <f aca="true" t="shared" si="6" ref="K12:Q12">COLUMN(K12)-COLUMN($J12)+1</f>
        <v>2</v>
      </c>
      <c r="L12" s="104">
        <f t="shared" si="6"/>
        <v>3</v>
      </c>
      <c r="M12" s="104">
        <f t="shared" si="6"/>
        <v>4</v>
      </c>
      <c r="N12" s="104">
        <f t="shared" si="6"/>
        <v>5</v>
      </c>
      <c r="O12" s="104">
        <f t="shared" si="6"/>
        <v>6</v>
      </c>
      <c r="P12" s="104">
        <f t="shared" si="6"/>
        <v>7</v>
      </c>
      <c r="Q12" s="104">
        <f t="shared" si="6"/>
        <v>8</v>
      </c>
    </row>
    <row r="13" spans="2:17" ht="10.5" hidden="1" outlineLevel="2">
      <c r="B13" s="105" t="s">
        <v>111</v>
      </c>
      <c r="C13" s="12"/>
      <c r="D13" s="12"/>
      <c r="E13" s="12"/>
      <c r="F13" s="12"/>
      <c r="G13" s="12"/>
      <c r="H13" s="12"/>
      <c r="I13" s="12"/>
      <c r="J13" s="106" t="str">
        <f>J10&amp;"-"&amp;J11</f>
        <v>2010-Year </v>
      </c>
      <c r="K13" s="106" t="str">
        <f aca="true" t="shared" si="7" ref="K13:Q13">K10&amp;"-"&amp;K11</f>
        <v>2011-Year </v>
      </c>
      <c r="L13" s="106" t="str">
        <f t="shared" si="7"/>
        <v>2012-Year </v>
      </c>
      <c r="M13" s="106" t="str">
        <f t="shared" si="7"/>
        <v>2013-Year </v>
      </c>
      <c r="N13" s="106" t="str">
        <f t="shared" si="7"/>
        <v>2014-Year </v>
      </c>
      <c r="O13" s="106" t="str">
        <f t="shared" si="7"/>
        <v>2015-Year </v>
      </c>
      <c r="P13" s="106" t="str">
        <f t="shared" si="7"/>
        <v>2016-Year </v>
      </c>
      <c r="Q13" s="106" t="str">
        <f t="shared" si="7"/>
        <v>2017-Year </v>
      </c>
    </row>
    <row r="14" ht="10.5" collapsed="1"/>
    <row r="15" ht="10.5"/>
    <row r="16" ht="12.75">
      <c r="B16" s="107" t="s">
        <v>137</v>
      </c>
    </row>
    <row r="17" ht="10.5"/>
    <row r="18" spans="3:17" ht="10.5">
      <c r="C18" s="7" t="str">
        <f>Fcast_TA!C18</f>
        <v>Revenue</v>
      </c>
      <c r="J18" s="108">
        <f>IF(J$12=1,Fcast_TA!J18,I18*(1+Fcast_TA!J18))</f>
        <v>125</v>
      </c>
      <c r="K18" s="108">
        <f>IF(K$12=1,Fcast_TA!K18,J18*(1+Fcast_TA!K18))</f>
        <v>128.125</v>
      </c>
      <c r="L18" s="108">
        <f>IF(L$12=1,Fcast_TA!L18,K18*(1+Fcast_TA!L18))</f>
        <v>131.328125</v>
      </c>
      <c r="M18" s="108">
        <f>IF(M$12=1,Fcast_TA!M18,L18*(1+Fcast_TA!M18))</f>
        <v>134.611328125</v>
      </c>
      <c r="N18" s="108">
        <f>IF(N$12=1,Fcast_TA!N18,M18*(1+Fcast_TA!N18))</f>
        <v>137.976611328125</v>
      </c>
      <c r="O18" s="108">
        <f>IF(O$12=1,Fcast_TA!O18,N18*(1+Fcast_TA!O18))</f>
        <v>141.4260266113281</v>
      </c>
      <c r="P18" s="108">
        <f>IF(P$12=1,Fcast_TA!P18,O18*(1+Fcast_TA!P18))</f>
        <v>144.96167727661128</v>
      </c>
      <c r="Q18" s="108">
        <f>IF(Q$12=1,Fcast_TA!Q18,P18*(1+Fcast_TA!Q18))</f>
        <v>148.58571920852654</v>
      </c>
    </row>
    <row r="19" spans="3:17" ht="10.5">
      <c r="C19" s="7" t="str">
        <f>Fcast_TA!C19</f>
        <v>Cost of Goods Sold</v>
      </c>
      <c r="J19" s="108">
        <f>IF(J$12=1,Fcast_TA!J19,I19*(1+Fcast_TA!J19))</f>
        <v>25</v>
      </c>
      <c r="K19" s="108">
        <f>IF(K$12=1,Fcast_TA!K19,J19*(1+Fcast_TA!K19))</f>
        <v>25.624999999999996</v>
      </c>
      <c r="L19" s="108">
        <f>IF(L$12=1,Fcast_TA!L19,K19*(1+Fcast_TA!L19))</f>
        <v>26.265624999999993</v>
      </c>
      <c r="M19" s="108">
        <f>IF(M$12=1,Fcast_TA!M19,L19*(1+Fcast_TA!M19))</f>
        <v>26.92226562499999</v>
      </c>
      <c r="N19" s="108">
        <f>IF(N$12=1,Fcast_TA!N19,M19*(1+Fcast_TA!N19))</f>
        <v>27.59532226562499</v>
      </c>
      <c r="O19" s="108">
        <f>IF(O$12=1,Fcast_TA!O19,N19*(1+Fcast_TA!O19))</f>
        <v>28.28520532226561</v>
      </c>
      <c r="P19" s="108">
        <f>IF(P$12=1,Fcast_TA!P19,O19*(1+Fcast_TA!P19))</f>
        <v>28.992335455322248</v>
      </c>
      <c r="Q19" s="108">
        <f>IF(Q$12=1,Fcast_TA!Q19,P19*(1+Fcast_TA!Q19))</f>
        <v>29.7171438417053</v>
      </c>
    </row>
    <row r="20" spans="3:17" ht="10.5">
      <c r="C20" s="7" t="str">
        <f>Fcast_TA!C20</f>
        <v>Operating Expenditure</v>
      </c>
      <c r="J20" s="108">
        <f>IF(J$12=1,Fcast_TA!J20,I20*(1+Fcast_TA!J20))</f>
        <v>40</v>
      </c>
      <c r="K20" s="108">
        <f>IF(K$12=1,Fcast_TA!K20,J20*(1+Fcast_TA!K20))</f>
        <v>41</v>
      </c>
      <c r="L20" s="108">
        <f>IF(L$12=1,Fcast_TA!L20,K20*(1+Fcast_TA!L20))</f>
        <v>42.025</v>
      </c>
      <c r="M20" s="108">
        <f>IF(M$12=1,Fcast_TA!M20,L20*(1+Fcast_TA!M20))</f>
        <v>43.075624999999995</v>
      </c>
      <c r="N20" s="108">
        <f>IF(N$12=1,Fcast_TA!N20,M20*(1+Fcast_TA!N20))</f>
        <v>44.15251562499999</v>
      </c>
      <c r="O20" s="108">
        <f>IF(O$12=1,Fcast_TA!O20,N20*(1+Fcast_TA!O20))</f>
        <v>45.256328515624986</v>
      </c>
      <c r="P20" s="108">
        <f>IF(P$12=1,Fcast_TA!P20,O20*(1+Fcast_TA!P20))</f>
        <v>46.387736728515605</v>
      </c>
      <c r="Q20" s="108">
        <f>IF(Q$12=1,Fcast_TA!Q20,P20*(1+Fcast_TA!Q20))</f>
        <v>47.547430146728495</v>
      </c>
    </row>
    <row r="21" spans="3:17" ht="10.5">
      <c r="C21" s="7" t="str">
        <f>Fcast_TA!C21</f>
        <v>Capital Expenditure - Assets</v>
      </c>
      <c r="J21" s="108">
        <f>IF(J$12=1,Fcast_TA!J21,I21*(1+Fcast_TA!J21))</f>
        <v>15</v>
      </c>
      <c r="K21" s="108">
        <f>IF(K$12=1,Fcast_TA!K21,J21*(1+Fcast_TA!K21))</f>
        <v>15.374999999999998</v>
      </c>
      <c r="L21" s="108">
        <f>IF(L$12=1,Fcast_TA!L21,K21*(1+Fcast_TA!L21))</f>
        <v>15.759374999999997</v>
      </c>
      <c r="M21" s="108">
        <f>IF(M$12=1,Fcast_TA!M21,L21*(1+Fcast_TA!M21))</f>
        <v>16.153359374999994</v>
      </c>
      <c r="N21" s="108">
        <f>IF(N$12=1,Fcast_TA!N21,M21*(1+Fcast_TA!N21))</f>
        <v>16.557193359374992</v>
      </c>
      <c r="O21" s="108">
        <f>IF(O$12=1,Fcast_TA!O21,N21*(1+Fcast_TA!O21))</f>
        <v>16.971123193359364</v>
      </c>
      <c r="P21" s="108">
        <f>IF(P$12=1,Fcast_TA!P21,O21*(1+Fcast_TA!P21))</f>
        <v>17.395401273193347</v>
      </c>
      <c r="Q21" s="108">
        <f>IF(Q$12=1,Fcast_TA!Q21,P21*(1+Fcast_TA!Q21))</f>
        <v>17.83028630502318</v>
      </c>
    </row>
    <row r="22" spans="3:17" ht="10.5">
      <c r="C22" s="7" t="str">
        <f>Fcast_TA!C22</f>
        <v>Capital Expenditure - Intangibles</v>
      </c>
      <c r="J22" s="108">
        <f>IF(J$12=1,Fcast_TA!J22,I22*(1+Fcast_TA!J22))</f>
        <v>2.5</v>
      </c>
      <c r="K22" s="108">
        <f>IF(K$12=1,Fcast_TA!K22,J22*(1+Fcast_TA!K22))</f>
        <v>2.5625</v>
      </c>
      <c r="L22" s="108">
        <f>IF(L$12=1,Fcast_TA!L22,K22*(1+Fcast_TA!L22))</f>
        <v>2.6265625</v>
      </c>
      <c r="M22" s="108">
        <f>IF(M$12=1,Fcast_TA!M22,L22*(1+Fcast_TA!M22))</f>
        <v>2.6922265624999997</v>
      </c>
      <c r="N22" s="108">
        <f>IF(N$12=1,Fcast_TA!N22,M22*(1+Fcast_TA!N22))</f>
        <v>2.7595322265624995</v>
      </c>
      <c r="O22" s="108">
        <f>IF(O$12=1,Fcast_TA!O22,N22*(1+Fcast_TA!O22))</f>
        <v>2.8285205322265616</v>
      </c>
      <c r="P22" s="108">
        <f>IF(P$12=1,Fcast_TA!P22,O22*(1+Fcast_TA!P22))</f>
        <v>2.8992335455322253</v>
      </c>
      <c r="Q22" s="108">
        <f>IF(Q$12=1,Fcast_TA!Q22,P22*(1+Fcast_TA!Q22))</f>
        <v>2.971714384170531</v>
      </c>
    </row>
    <row r="23" spans="3:17" ht="10.5">
      <c r="C23" s="7"/>
      <c r="J23" s="108"/>
      <c r="K23" s="108"/>
      <c r="L23" s="108"/>
      <c r="M23" s="108"/>
      <c r="N23" s="108"/>
      <c r="O23" s="108"/>
      <c r="P23" s="108"/>
      <c r="Q23" s="108"/>
    </row>
    <row r="24" ht="10.5"/>
    <row r="25" ht="12.75">
      <c r="B25" s="107" t="s">
        <v>138</v>
      </c>
    </row>
    <row r="26" ht="12.75">
      <c r="B26" s="109"/>
    </row>
    <row r="27" ht="11.25">
      <c r="C27" s="110" t="str">
        <f>"Accounts Receivable Balances ("&amp;INDEX(LU_Denom,DD_TS_Denom)&amp;")"</f>
        <v>Accounts Receivable Balances ($Millions)</v>
      </c>
    </row>
    <row r="28" ht="10.5"/>
    <row r="29" spans="4:17" ht="10.5">
      <c r="D29" s="6" t="s">
        <v>139</v>
      </c>
      <c r="J29" s="108">
        <f>IF(J$12=1,Fcast_TA!$I$31,I33)</f>
        <v>21</v>
      </c>
      <c r="K29" s="108">
        <f>IF(K$12=1,Fcast_TA!$I$31,J33)</f>
        <v>10.273972602739725</v>
      </c>
      <c r="L29" s="108">
        <f>IF(L$12=1,Fcast_TA!$I$31,K33)</f>
        <v>10.530821917808218</v>
      </c>
      <c r="M29" s="108">
        <f>IF(M$12=1,Fcast_TA!$I$31,L33)</f>
        <v>10.764600409836065</v>
      </c>
      <c r="N29" s="108">
        <f>IF(N$12=1,Fcast_TA!$I$31,M33)</f>
        <v>11.06394477739726</v>
      </c>
      <c r="O29" s="108">
        <f>IF(O$12=1,Fcast_TA!$I$31,N33)</f>
        <v>11.340543396832192</v>
      </c>
      <c r="P29" s="108">
        <f>IF(P$12=1,Fcast_TA!$I$31,O33)</f>
        <v>11.624056981752995</v>
      </c>
      <c r="Q29" s="108">
        <f>IF(Q$12=1,Fcast_TA!$I$31,P33)</f>
        <v>11.882104694804204</v>
      </c>
    </row>
    <row r="30" spans="4:17" ht="10.5">
      <c r="D30" s="7" t="str">
        <f>C18</f>
        <v>Revenue</v>
      </c>
      <c r="J30" s="108">
        <f>J18</f>
        <v>125</v>
      </c>
      <c r="K30" s="108">
        <f aca="true" t="shared" si="8" ref="K30:Q30">K18</f>
        <v>128.125</v>
      </c>
      <c r="L30" s="108">
        <f t="shared" si="8"/>
        <v>131.328125</v>
      </c>
      <c r="M30" s="108">
        <f t="shared" si="8"/>
        <v>134.611328125</v>
      </c>
      <c r="N30" s="108">
        <f t="shared" si="8"/>
        <v>137.976611328125</v>
      </c>
      <c r="O30" s="108">
        <f t="shared" si="8"/>
        <v>141.4260266113281</v>
      </c>
      <c r="P30" s="108">
        <f t="shared" si="8"/>
        <v>144.96167727661128</v>
      </c>
      <c r="Q30" s="108">
        <f t="shared" si="8"/>
        <v>148.58571920852654</v>
      </c>
    </row>
    <row r="31" spans="4:17" s="14" customFormat="1" ht="10.5">
      <c r="D31" s="111" t="s">
        <v>140</v>
      </c>
      <c r="J31" s="112">
        <f aca="true" t="shared" si="9" ref="J31:Q31">J33-SUM(J29:J30)</f>
        <v>-135.72602739726028</v>
      </c>
      <c r="K31" s="112">
        <f t="shared" si="9"/>
        <v>-127.86815068493149</v>
      </c>
      <c r="L31" s="112">
        <f t="shared" si="9"/>
        <v>-131.09434650797215</v>
      </c>
      <c r="M31" s="112">
        <f t="shared" si="9"/>
        <v>-134.3119837574388</v>
      </c>
      <c r="N31" s="112">
        <f t="shared" si="9"/>
        <v>-137.70001270869005</v>
      </c>
      <c r="O31" s="112">
        <f t="shared" si="9"/>
        <v>-141.1425130264073</v>
      </c>
      <c r="P31" s="112">
        <f t="shared" si="9"/>
        <v>-144.70362956356007</v>
      </c>
      <c r="Q31" s="112">
        <f t="shared" si="9"/>
        <v>-148.25529903687652</v>
      </c>
    </row>
    <row r="32" spans="4:17" ht="10.5" hidden="1" outlineLevel="2">
      <c r="D32" s="113" t="s">
        <v>141</v>
      </c>
      <c r="J32" s="114">
        <f aca="true" t="shared" si="10" ref="J32:Q32">SUM(J30:J31)</f>
        <v>-10.726027397260282</v>
      </c>
      <c r="K32" s="114">
        <f t="shared" si="10"/>
        <v>0.25684931506850717</v>
      </c>
      <c r="L32" s="114">
        <f t="shared" si="10"/>
        <v>0.23377849202785228</v>
      </c>
      <c r="M32" s="114">
        <f t="shared" si="10"/>
        <v>0.29934436756119</v>
      </c>
      <c r="N32" s="114">
        <f t="shared" si="10"/>
        <v>0.27659861943493524</v>
      </c>
      <c r="O32" s="114">
        <f t="shared" si="10"/>
        <v>0.28351358492079726</v>
      </c>
      <c r="P32" s="114">
        <f t="shared" si="10"/>
        <v>0.2580477130512122</v>
      </c>
      <c r="Q32" s="114">
        <f t="shared" si="10"/>
        <v>0.3304201716500188</v>
      </c>
    </row>
    <row r="33" spans="4:17" ht="10.5" collapsed="1">
      <c r="D33" s="115" t="s">
        <v>142</v>
      </c>
      <c r="J33" s="116">
        <f>J30*J36/(J$9-J$8+1)</f>
        <v>10.273972602739725</v>
      </c>
      <c r="K33" s="116">
        <f aca="true" t="shared" si="11" ref="K33:Q33">K30*K36/(K$9-K$8+1)</f>
        <v>10.530821917808218</v>
      </c>
      <c r="L33" s="116">
        <f t="shared" si="11"/>
        <v>10.764600409836065</v>
      </c>
      <c r="M33" s="116">
        <f t="shared" si="11"/>
        <v>11.06394477739726</v>
      </c>
      <c r="N33" s="116">
        <f t="shared" si="11"/>
        <v>11.340543396832192</v>
      </c>
      <c r="O33" s="116">
        <f t="shared" si="11"/>
        <v>11.624056981752995</v>
      </c>
      <c r="P33" s="116">
        <f t="shared" si="11"/>
        <v>11.882104694804204</v>
      </c>
      <c r="Q33" s="116">
        <f t="shared" si="11"/>
        <v>12.212524866454237</v>
      </c>
    </row>
    <row r="34" ht="10.5"/>
    <row r="35" spans="4:17" ht="10.5">
      <c r="D35" s="117" t="str">
        <f>"Closing Balance Periodic Growth (% per "&amp;INDEX(LU_Period_Type_Names,MATCH(TS_Periodicity,LU_Periodicity))&amp;")"</f>
        <v>Closing Balance Periodic Growth (% per Year)</v>
      </c>
      <c r="K35" s="118">
        <f aca="true" t="shared" si="12" ref="K35:Q35">IF(ISERROR(K33/J33),"N/A",ROUND(K33/J33-1,5))</f>
        <v>0.025</v>
      </c>
      <c r="L35" s="118">
        <f t="shared" si="12"/>
        <v>0.0222</v>
      </c>
      <c r="M35" s="118">
        <f t="shared" si="12"/>
        <v>0.02781</v>
      </c>
      <c r="N35" s="118">
        <f t="shared" si="12"/>
        <v>0.025</v>
      </c>
      <c r="O35" s="118">
        <f t="shared" si="12"/>
        <v>0.025</v>
      </c>
      <c r="P35" s="118">
        <f t="shared" si="12"/>
        <v>0.0222</v>
      </c>
      <c r="Q35" s="118">
        <f t="shared" si="12"/>
        <v>0.02781</v>
      </c>
    </row>
    <row r="36" spans="4:17" ht="10.5">
      <c r="D36" s="113" t="s">
        <v>143</v>
      </c>
      <c r="J36" s="119">
        <f>Fcast_TA!J31</f>
        <v>30</v>
      </c>
      <c r="K36" s="119">
        <f>Fcast_TA!K31</f>
        <v>30</v>
      </c>
      <c r="L36" s="119">
        <f>Fcast_TA!L31</f>
        <v>30</v>
      </c>
      <c r="M36" s="119">
        <f>Fcast_TA!M31</f>
        <v>30</v>
      </c>
      <c r="N36" s="119">
        <f>Fcast_TA!N31</f>
        <v>30</v>
      </c>
      <c r="O36" s="119">
        <f>Fcast_TA!O31</f>
        <v>30</v>
      </c>
      <c r="P36" s="119">
        <f>Fcast_TA!P31</f>
        <v>30</v>
      </c>
      <c r="Q36" s="119">
        <f>Fcast_TA!Q31</f>
        <v>30</v>
      </c>
    </row>
    <row r="37" ht="10.5"/>
    <row r="38" spans="5:17" ht="10.5" hidden="1" outlineLevel="2">
      <c r="E38" s="6" t="s">
        <v>144</v>
      </c>
      <c r="J38" s="120">
        <f aca="true" t="shared" si="13" ref="J38:Q38">IF(ISERROR(J29+J32-J33),1,0)</f>
        <v>0</v>
      </c>
      <c r="K38" s="120">
        <f t="shared" si="13"/>
        <v>0</v>
      </c>
      <c r="L38" s="120">
        <f t="shared" si="13"/>
        <v>0</v>
      </c>
      <c r="M38" s="120">
        <f t="shared" si="13"/>
        <v>0</v>
      </c>
      <c r="N38" s="120">
        <f t="shared" si="13"/>
        <v>0</v>
      </c>
      <c r="O38" s="120">
        <f t="shared" si="13"/>
        <v>0</v>
      </c>
      <c r="P38" s="120">
        <f t="shared" si="13"/>
        <v>0</v>
      </c>
      <c r="Q38" s="120">
        <f t="shared" si="13"/>
        <v>0</v>
      </c>
    </row>
    <row r="39" spans="5:17" ht="10.5" hidden="1" outlineLevel="2">
      <c r="E39" s="6" t="s">
        <v>145</v>
      </c>
      <c r="J39" s="121">
        <f aca="true" t="shared" si="14" ref="J39:Q39">IF(J38&lt;&gt;0,0,(ROUND(J29+J32-J33,5)&lt;&gt;0)*1)</f>
        <v>0</v>
      </c>
      <c r="K39" s="121">
        <f t="shared" si="14"/>
        <v>0</v>
      </c>
      <c r="L39" s="121">
        <f t="shared" si="14"/>
        <v>0</v>
      </c>
      <c r="M39" s="121">
        <f t="shared" si="14"/>
        <v>0</v>
      </c>
      <c r="N39" s="121">
        <f t="shared" si="14"/>
        <v>0</v>
      </c>
      <c r="O39" s="121">
        <f t="shared" si="14"/>
        <v>0</v>
      </c>
      <c r="P39" s="121">
        <f t="shared" si="14"/>
        <v>0</v>
      </c>
      <c r="Q39" s="121">
        <f t="shared" si="14"/>
        <v>0</v>
      </c>
    </row>
    <row r="40" spans="5:17" ht="10.5" hidden="1" outlineLevel="2">
      <c r="E40" s="6" t="s">
        <v>146</v>
      </c>
      <c r="J40" s="121">
        <f aca="true" t="shared" si="15" ref="J40:Q40">IF(ISERROR(J31),0,(ROUND(MAX(J31),5)&gt;0)*1)</f>
        <v>0</v>
      </c>
      <c r="K40" s="121">
        <f t="shared" si="15"/>
        <v>0</v>
      </c>
      <c r="L40" s="121">
        <f t="shared" si="15"/>
        <v>0</v>
      </c>
      <c r="M40" s="121">
        <f t="shared" si="15"/>
        <v>0</v>
      </c>
      <c r="N40" s="121">
        <f t="shared" si="15"/>
        <v>0</v>
      </c>
      <c r="O40" s="121">
        <f t="shared" si="15"/>
        <v>0</v>
      </c>
      <c r="P40" s="121">
        <f t="shared" si="15"/>
        <v>0</v>
      </c>
      <c r="Q40" s="121">
        <f t="shared" si="15"/>
        <v>0</v>
      </c>
    </row>
    <row r="41" spans="5:17" ht="10.5" hidden="1" outlineLevel="2">
      <c r="E41" s="6" t="s">
        <v>147</v>
      </c>
      <c r="J41" s="122">
        <f aca="true" t="shared" si="16" ref="J41:Q41">IF(ISERROR(J33),0,(ROUND(MIN(J33),5)&lt;0)*1)</f>
        <v>0</v>
      </c>
      <c r="K41" s="122">
        <f t="shared" si="16"/>
        <v>0</v>
      </c>
      <c r="L41" s="122">
        <f t="shared" si="16"/>
        <v>0</v>
      </c>
      <c r="M41" s="122">
        <f t="shared" si="16"/>
        <v>0</v>
      </c>
      <c r="N41" s="122">
        <f t="shared" si="16"/>
        <v>0</v>
      </c>
      <c r="O41" s="122">
        <f t="shared" si="16"/>
        <v>0</v>
      </c>
      <c r="P41" s="122">
        <f t="shared" si="16"/>
        <v>0</v>
      </c>
      <c r="Q41" s="122">
        <f t="shared" si="16"/>
        <v>0</v>
      </c>
    </row>
    <row r="42" spans="4:17" ht="10.5" collapsed="1">
      <c r="D42" s="6" t="s">
        <v>148</v>
      </c>
      <c r="I42" s="123">
        <f>IF(ISERROR(SUM(J42:Q42)),0,MIN(SUM(J42:Q42),1))</f>
        <v>0</v>
      </c>
      <c r="J42" s="120">
        <f aca="true" t="shared" si="17" ref="J42:Q42">MIN(SUM(J38:J41),1)</f>
        <v>0</v>
      </c>
      <c r="K42" s="120">
        <f t="shared" si="17"/>
        <v>0</v>
      </c>
      <c r="L42" s="120">
        <f t="shared" si="17"/>
        <v>0</v>
      </c>
      <c r="M42" s="120">
        <f t="shared" si="17"/>
        <v>0</v>
      </c>
      <c r="N42" s="120">
        <f t="shared" si="17"/>
        <v>0</v>
      </c>
      <c r="O42" s="120">
        <f t="shared" si="17"/>
        <v>0</v>
      </c>
      <c r="P42" s="120">
        <f t="shared" si="17"/>
        <v>0</v>
      </c>
      <c r="Q42" s="120">
        <f t="shared" si="17"/>
        <v>0</v>
      </c>
    </row>
    <row r="43" ht="10.5"/>
    <row r="44" ht="11.25">
      <c r="C44" s="110" t="str">
        <f>"Accounts Payable Balances ("&amp;INDEX(LU_Denom,DD_TS_Denom)&amp;")"</f>
        <v>Accounts Payable Balances ($Millions)</v>
      </c>
    </row>
    <row r="45" ht="11.25">
      <c r="C45" s="110"/>
    </row>
    <row r="46" spans="4:17" ht="10.5">
      <c r="D46" s="6" t="s">
        <v>139</v>
      </c>
      <c r="J46" s="108">
        <f>IF(J$12=1,Fcast_TA!$I$32,I50)</f>
        <v>16</v>
      </c>
      <c r="K46" s="108">
        <f>IF(K$12=1,Fcast_TA!$I$32,J50)</f>
        <v>8.013698630136986</v>
      </c>
      <c r="L46" s="108">
        <f>IF(L$12=1,Fcast_TA!$I$32,K50)</f>
        <v>8.21404109589041</v>
      </c>
      <c r="M46" s="108">
        <f>IF(M$12=1,Fcast_TA!$I$32,L50)</f>
        <v>8.39638831967213</v>
      </c>
      <c r="N46" s="108">
        <f>IF(N$12=1,Fcast_TA!$I$32,M50)</f>
        <v>8.629876926369862</v>
      </c>
      <c r="O46" s="108">
        <f>IF(O$12=1,Fcast_TA!$I$32,N50)</f>
        <v>8.845623849529108</v>
      </c>
      <c r="P46" s="108">
        <f>IF(P$12=1,Fcast_TA!$I$32,O50)</f>
        <v>9.066764445767335</v>
      </c>
      <c r="Q46" s="108">
        <f>IF(Q$12=1,Fcast_TA!$I$32,P50)</f>
        <v>9.268041661947276</v>
      </c>
    </row>
    <row r="47" spans="4:17" ht="10.5">
      <c r="D47" s="6" t="s">
        <v>149</v>
      </c>
      <c r="J47" s="108">
        <f>SUM(J19:J20)</f>
        <v>65</v>
      </c>
      <c r="K47" s="108">
        <f aca="true" t="shared" si="18" ref="K47:Q47">SUM(K19:K20)</f>
        <v>66.625</v>
      </c>
      <c r="L47" s="108">
        <f t="shared" si="18"/>
        <v>68.29062499999999</v>
      </c>
      <c r="M47" s="108">
        <f t="shared" si="18"/>
        <v>69.99789062499998</v>
      </c>
      <c r="N47" s="108">
        <f t="shared" si="18"/>
        <v>71.74783789062498</v>
      </c>
      <c r="O47" s="108">
        <f t="shared" si="18"/>
        <v>73.5415338378906</v>
      </c>
      <c r="P47" s="108">
        <f t="shared" si="18"/>
        <v>75.38007218383785</v>
      </c>
      <c r="Q47" s="108">
        <f t="shared" si="18"/>
        <v>77.2645739884338</v>
      </c>
    </row>
    <row r="48" spans="4:17" s="14" customFormat="1" ht="10.5">
      <c r="D48" s="111" t="s">
        <v>150</v>
      </c>
      <c r="J48" s="112">
        <f aca="true" t="shared" si="19" ref="J48:Q48">J50-SUM(J46:J47)</f>
        <v>-72.98630136986301</v>
      </c>
      <c r="K48" s="112">
        <f t="shared" si="19"/>
        <v>-66.42465753424658</v>
      </c>
      <c r="L48" s="112">
        <f t="shared" si="19"/>
        <v>-68.10827777621827</v>
      </c>
      <c r="M48" s="112">
        <f t="shared" si="19"/>
        <v>-69.76440201830225</v>
      </c>
      <c r="N48" s="112">
        <f t="shared" si="19"/>
        <v>-71.53209096746573</v>
      </c>
      <c r="O48" s="112">
        <f t="shared" si="19"/>
        <v>-73.32039324165237</v>
      </c>
      <c r="P48" s="112">
        <f t="shared" si="19"/>
        <v>-75.17879496765791</v>
      </c>
      <c r="Q48" s="112">
        <f t="shared" si="19"/>
        <v>-77.00684625454677</v>
      </c>
    </row>
    <row r="49" spans="4:17" ht="10.5" hidden="1" outlineLevel="2">
      <c r="D49" s="113" t="s">
        <v>151</v>
      </c>
      <c r="J49" s="114">
        <f aca="true" t="shared" si="20" ref="J49:Q49">SUM(J47:J48)</f>
        <v>-7.986301369863014</v>
      </c>
      <c r="K49" s="114">
        <f t="shared" si="20"/>
        <v>0.20034246575342252</v>
      </c>
      <c r="L49" s="114">
        <f t="shared" si="20"/>
        <v>0.18234722378171853</v>
      </c>
      <c r="M49" s="114">
        <f t="shared" si="20"/>
        <v>0.2334886066977333</v>
      </c>
      <c r="N49" s="114">
        <f t="shared" si="20"/>
        <v>0.21574692315924437</v>
      </c>
      <c r="O49" s="114">
        <f t="shared" si="20"/>
        <v>0.22114059623822868</v>
      </c>
      <c r="P49" s="114">
        <f t="shared" si="20"/>
        <v>0.2012772161799461</v>
      </c>
      <c r="Q49" s="114">
        <f t="shared" si="20"/>
        <v>0.2577277338870232</v>
      </c>
    </row>
    <row r="50" spans="4:17" ht="10.5" collapsed="1">
      <c r="D50" s="115" t="s">
        <v>142</v>
      </c>
      <c r="J50" s="116">
        <f>J47*J53/(J$9-J$8+1)</f>
        <v>8.013698630136986</v>
      </c>
      <c r="K50" s="116">
        <f aca="true" t="shared" si="21" ref="K50:Q50">K47*K53/(K$9-K$8+1)</f>
        <v>8.21404109589041</v>
      </c>
      <c r="L50" s="116">
        <f t="shared" si="21"/>
        <v>8.39638831967213</v>
      </c>
      <c r="M50" s="116">
        <f t="shared" si="21"/>
        <v>8.629876926369862</v>
      </c>
      <c r="N50" s="116">
        <f t="shared" si="21"/>
        <v>8.845623849529108</v>
      </c>
      <c r="O50" s="116">
        <f t="shared" si="21"/>
        <v>9.066764445767335</v>
      </c>
      <c r="P50" s="116">
        <f t="shared" si="21"/>
        <v>9.268041661947276</v>
      </c>
      <c r="Q50" s="116">
        <f t="shared" si="21"/>
        <v>9.525769395834304</v>
      </c>
    </row>
    <row r="51" ht="10.5"/>
    <row r="52" spans="4:17" ht="10.5">
      <c r="D52" s="117" t="str">
        <f>"Closing Balance Periodic Growth (% per "&amp;INDEX(LU_Period_Type_Names,MATCH(TS_Periodicity,LU_Periodicity))&amp;")"</f>
        <v>Closing Balance Periodic Growth (% per Year)</v>
      </c>
      <c r="K52" s="118">
        <f aca="true" t="shared" si="22" ref="K52:Q52">IF(ISERROR(K50/J50),"N/A",ROUND(K50/J50-1,5))</f>
        <v>0.025</v>
      </c>
      <c r="L52" s="118">
        <f t="shared" si="22"/>
        <v>0.0222</v>
      </c>
      <c r="M52" s="118">
        <f t="shared" si="22"/>
        <v>0.02781</v>
      </c>
      <c r="N52" s="118">
        <f t="shared" si="22"/>
        <v>0.025</v>
      </c>
      <c r="O52" s="118">
        <f t="shared" si="22"/>
        <v>0.025</v>
      </c>
      <c r="P52" s="118">
        <f t="shared" si="22"/>
        <v>0.0222</v>
      </c>
      <c r="Q52" s="118">
        <f t="shared" si="22"/>
        <v>0.02781</v>
      </c>
    </row>
    <row r="53" spans="4:17" ht="10.5">
      <c r="D53" s="113" t="s">
        <v>152</v>
      </c>
      <c r="J53" s="119">
        <f>Fcast_TA!J32</f>
        <v>45</v>
      </c>
      <c r="K53" s="119">
        <f>Fcast_TA!K32</f>
        <v>45</v>
      </c>
      <c r="L53" s="119">
        <f>Fcast_TA!L32</f>
        <v>45</v>
      </c>
      <c r="M53" s="119">
        <f>Fcast_TA!M32</f>
        <v>45</v>
      </c>
      <c r="N53" s="119">
        <f>Fcast_TA!N32</f>
        <v>45</v>
      </c>
      <c r="O53" s="119">
        <f>Fcast_TA!O32</f>
        <v>45</v>
      </c>
      <c r="P53" s="119">
        <f>Fcast_TA!P32</f>
        <v>45</v>
      </c>
      <c r="Q53" s="119">
        <f>Fcast_TA!Q32</f>
        <v>45</v>
      </c>
    </row>
    <row r="54" ht="10.5"/>
    <row r="55" spans="5:17" ht="10.5" hidden="1" outlineLevel="2">
      <c r="E55" s="6" t="s">
        <v>144</v>
      </c>
      <c r="J55" s="120">
        <f aca="true" t="shared" si="23" ref="J55:Q55">IF(ISERROR(J46+J49-J50),1,0)</f>
        <v>0</v>
      </c>
      <c r="K55" s="120">
        <f t="shared" si="23"/>
        <v>0</v>
      </c>
      <c r="L55" s="120">
        <f t="shared" si="23"/>
        <v>0</v>
      </c>
      <c r="M55" s="120">
        <f t="shared" si="23"/>
        <v>0</v>
      </c>
      <c r="N55" s="120">
        <f t="shared" si="23"/>
        <v>0</v>
      </c>
      <c r="O55" s="120">
        <f t="shared" si="23"/>
        <v>0</v>
      </c>
      <c r="P55" s="120">
        <f t="shared" si="23"/>
        <v>0</v>
      </c>
      <c r="Q55" s="120">
        <f t="shared" si="23"/>
        <v>0</v>
      </c>
    </row>
    <row r="56" spans="5:17" ht="10.5" hidden="1" outlineLevel="2">
      <c r="E56" s="6" t="s">
        <v>145</v>
      </c>
      <c r="J56" s="121">
        <f aca="true" t="shared" si="24" ref="J56:Q56">IF(J55&lt;&gt;0,0,(ROUND(J46+J49-J50,5)&lt;&gt;0)*1)</f>
        <v>0</v>
      </c>
      <c r="K56" s="121">
        <f t="shared" si="24"/>
        <v>0</v>
      </c>
      <c r="L56" s="121">
        <f t="shared" si="24"/>
        <v>0</v>
      </c>
      <c r="M56" s="121">
        <f t="shared" si="24"/>
        <v>0</v>
      </c>
      <c r="N56" s="121">
        <f t="shared" si="24"/>
        <v>0</v>
      </c>
      <c r="O56" s="121">
        <f t="shared" si="24"/>
        <v>0</v>
      </c>
      <c r="P56" s="121">
        <f t="shared" si="24"/>
        <v>0</v>
      </c>
      <c r="Q56" s="121">
        <f t="shared" si="24"/>
        <v>0</v>
      </c>
    </row>
    <row r="57" spans="5:17" ht="10.5" hidden="1" outlineLevel="2">
      <c r="E57" s="6" t="s">
        <v>153</v>
      </c>
      <c r="J57" s="121">
        <f aca="true" t="shared" si="25" ref="J57:Q57">IF(ISERROR(J48),0,(ROUND(MAX(J48),5)&gt;0)*1)</f>
        <v>0</v>
      </c>
      <c r="K57" s="121">
        <f t="shared" si="25"/>
        <v>0</v>
      </c>
      <c r="L57" s="121">
        <f t="shared" si="25"/>
        <v>0</v>
      </c>
      <c r="M57" s="121">
        <f t="shared" si="25"/>
        <v>0</v>
      </c>
      <c r="N57" s="121">
        <f t="shared" si="25"/>
        <v>0</v>
      </c>
      <c r="O57" s="121">
        <f t="shared" si="25"/>
        <v>0</v>
      </c>
      <c r="P57" s="121">
        <f t="shared" si="25"/>
        <v>0</v>
      </c>
      <c r="Q57" s="121">
        <f t="shared" si="25"/>
        <v>0</v>
      </c>
    </row>
    <row r="58" spans="5:17" ht="10.5" hidden="1" outlineLevel="2">
      <c r="E58" s="6" t="s">
        <v>147</v>
      </c>
      <c r="J58" s="122">
        <f aca="true" t="shared" si="26" ref="J58:Q58">IF(ISERROR(J50),0,(ROUND(MIN(J50),5)&lt;0)*1)</f>
        <v>0</v>
      </c>
      <c r="K58" s="122">
        <f t="shared" si="26"/>
        <v>0</v>
      </c>
      <c r="L58" s="122">
        <f t="shared" si="26"/>
        <v>0</v>
      </c>
      <c r="M58" s="122">
        <f t="shared" si="26"/>
        <v>0</v>
      </c>
      <c r="N58" s="122">
        <f t="shared" si="26"/>
        <v>0</v>
      </c>
      <c r="O58" s="122">
        <f t="shared" si="26"/>
        <v>0</v>
      </c>
      <c r="P58" s="122">
        <f t="shared" si="26"/>
        <v>0</v>
      </c>
      <c r="Q58" s="122">
        <f t="shared" si="26"/>
        <v>0</v>
      </c>
    </row>
    <row r="59" spans="4:17" ht="10.5" collapsed="1">
      <c r="D59" s="6" t="s">
        <v>148</v>
      </c>
      <c r="I59" s="123">
        <f>IF(ISERROR(SUM(J59:Q59)),0,MIN(SUM(J59:Q59),1))</f>
        <v>0</v>
      </c>
      <c r="J59" s="120">
        <f aca="true" t="shared" si="27" ref="J59:Q59">MIN(SUM(J55:J58),1)</f>
        <v>0</v>
      </c>
      <c r="K59" s="120">
        <f t="shared" si="27"/>
        <v>0</v>
      </c>
      <c r="L59" s="120">
        <f t="shared" si="27"/>
        <v>0</v>
      </c>
      <c r="M59" s="120">
        <f t="shared" si="27"/>
        <v>0</v>
      </c>
      <c r="N59" s="120">
        <f t="shared" si="27"/>
        <v>0</v>
      </c>
      <c r="O59" s="120">
        <f t="shared" si="27"/>
        <v>0</v>
      </c>
      <c r="P59" s="120">
        <f t="shared" si="27"/>
        <v>0</v>
      </c>
      <c r="Q59" s="120">
        <f t="shared" si="27"/>
        <v>0</v>
      </c>
    </row>
    <row r="60" ht="10.5"/>
    <row r="61" ht="10.5"/>
    <row r="62" ht="12.75">
      <c r="B62" s="107" t="s">
        <v>154</v>
      </c>
    </row>
    <row r="63" ht="10.5"/>
    <row r="64" ht="11.25">
      <c r="C64" s="110" t="str">
        <f>"Assets Balances ("&amp;INDEX(LU_Denom,DD_TS_Denom)&amp;")"</f>
        <v>Assets Balances ($Millions)</v>
      </c>
    </row>
    <row r="65" ht="10.5"/>
    <row r="66" spans="4:17" ht="10.5">
      <c r="D66" s="6" t="s">
        <v>139</v>
      </c>
      <c r="J66" s="108">
        <f>IF(J$12=1,Fcast_TA!$I$43,I70)</f>
        <v>145</v>
      </c>
      <c r="K66" s="108">
        <f>IF(K$12=1,Fcast_TA!$I$43,J70)</f>
        <v>146.5</v>
      </c>
      <c r="L66" s="108">
        <f>IF(L$12=1,Fcast_TA!$I$43,K70)</f>
        <v>148.0375</v>
      </c>
      <c r="M66" s="108">
        <f>IF(M$12=1,Fcast_TA!$I$43,L70)</f>
        <v>149.6134375</v>
      </c>
      <c r="N66" s="108">
        <f>IF(N$12=1,Fcast_TA!$I$43,M70)</f>
        <v>151.22877343750002</v>
      </c>
      <c r="O66" s="108">
        <f>IF(O$12=1,Fcast_TA!$I$43,N70)</f>
        <v>152.88449277343753</v>
      </c>
      <c r="P66" s="108">
        <f>IF(P$12=1,Fcast_TA!$I$43,O70)</f>
        <v>154.5816050927735</v>
      </c>
      <c r="Q66" s="108">
        <f>IF(Q$12=1,Fcast_TA!$I$43,P70)</f>
        <v>156.32114522009283</v>
      </c>
    </row>
    <row r="67" spans="4:17" ht="10.5">
      <c r="D67" s="7" t="str">
        <f>C21</f>
        <v>Capital Expenditure - Assets</v>
      </c>
      <c r="J67" s="108">
        <f>J21</f>
        <v>15</v>
      </c>
      <c r="K67" s="108">
        <f aca="true" t="shared" si="28" ref="K67:Q67">K21</f>
        <v>15.374999999999998</v>
      </c>
      <c r="L67" s="108">
        <f t="shared" si="28"/>
        <v>15.759374999999997</v>
      </c>
      <c r="M67" s="108">
        <f t="shared" si="28"/>
        <v>16.153359374999994</v>
      </c>
      <c r="N67" s="108">
        <f t="shared" si="28"/>
        <v>16.557193359374992</v>
      </c>
      <c r="O67" s="108">
        <f t="shared" si="28"/>
        <v>16.971123193359364</v>
      </c>
      <c r="P67" s="108">
        <f t="shared" si="28"/>
        <v>17.395401273193347</v>
      </c>
      <c r="Q67" s="108">
        <f t="shared" si="28"/>
        <v>17.83028630502318</v>
      </c>
    </row>
    <row r="68" spans="4:17" ht="10.5" hidden="1" outlineLevel="2">
      <c r="D68" s="6" t="s">
        <v>155</v>
      </c>
      <c r="J68" s="124">
        <f>Fcast_TA!J43</f>
        <v>0.9</v>
      </c>
      <c r="K68" s="124">
        <f>Fcast_TA!K43</f>
        <v>0.9</v>
      </c>
      <c r="L68" s="124">
        <f>Fcast_TA!L43</f>
        <v>0.9</v>
      </c>
      <c r="M68" s="124">
        <f>Fcast_TA!M43</f>
        <v>0.9</v>
      </c>
      <c r="N68" s="124">
        <f>Fcast_TA!N43</f>
        <v>0.9</v>
      </c>
      <c r="O68" s="124">
        <f>Fcast_TA!O43</f>
        <v>0.9</v>
      </c>
      <c r="P68" s="124">
        <f>Fcast_TA!P43</f>
        <v>0.9</v>
      </c>
      <c r="Q68" s="124">
        <f>Fcast_TA!Q43</f>
        <v>0.9</v>
      </c>
    </row>
    <row r="69" spans="4:17" s="14" customFormat="1" ht="10.5" collapsed="1">
      <c r="D69" s="111" t="s">
        <v>156</v>
      </c>
      <c r="J69" s="112">
        <f>-J67*J68</f>
        <v>-13.5</v>
      </c>
      <c r="K69" s="112">
        <f aca="true" t="shared" si="29" ref="K69:Q69">-K67*K68</f>
        <v>-13.837499999999999</v>
      </c>
      <c r="L69" s="112">
        <f t="shared" si="29"/>
        <v>-14.183437499999997</v>
      </c>
      <c r="M69" s="112">
        <f t="shared" si="29"/>
        <v>-14.538023437499994</v>
      </c>
      <c r="N69" s="112">
        <f t="shared" si="29"/>
        <v>-14.901474023437492</v>
      </c>
      <c r="O69" s="112">
        <f t="shared" si="29"/>
        <v>-15.274010874023428</v>
      </c>
      <c r="P69" s="112">
        <f t="shared" si="29"/>
        <v>-15.655861145874013</v>
      </c>
      <c r="Q69" s="112">
        <f t="shared" si="29"/>
        <v>-16.04725767452086</v>
      </c>
    </row>
    <row r="70" spans="4:17" ht="10.5">
      <c r="D70" s="115" t="s">
        <v>142</v>
      </c>
      <c r="J70" s="116">
        <f>J66+J67+J69</f>
        <v>146.5</v>
      </c>
      <c r="K70" s="116">
        <f aca="true" t="shared" si="30" ref="K70:Q70">K66+K67+K69</f>
        <v>148.0375</v>
      </c>
      <c r="L70" s="116">
        <f t="shared" si="30"/>
        <v>149.6134375</v>
      </c>
      <c r="M70" s="116">
        <f t="shared" si="30"/>
        <v>151.22877343750002</v>
      </c>
      <c r="N70" s="116">
        <f t="shared" si="30"/>
        <v>152.88449277343753</v>
      </c>
      <c r="O70" s="116">
        <f t="shared" si="30"/>
        <v>154.5816050927735</v>
      </c>
      <c r="P70" s="116">
        <f t="shared" si="30"/>
        <v>156.32114522009283</v>
      </c>
      <c r="Q70" s="116">
        <f t="shared" si="30"/>
        <v>158.10417385059515</v>
      </c>
    </row>
    <row r="71" ht="10.5"/>
    <row r="72" spans="5:17" ht="10.5" hidden="1" outlineLevel="2">
      <c r="E72" s="6" t="s">
        <v>144</v>
      </c>
      <c r="J72" s="120">
        <f>IF(ISERROR(J70-(J66+J67+J69)),1,0)</f>
        <v>0</v>
      </c>
      <c r="K72" s="120">
        <f aca="true" t="shared" si="31" ref="K72:Q72">IF(ISERROR(K70-(K66+K67+K69)),1,0)</f>
        <v>0</v>
      </c>
      <c r="L72" s="120">
        <f t="shared" si="31"/>
        <v>0</v>
      </c>
      <c r="M72" s="120">
        <f t="shared" si="31"/>
        <v>0</v>
      </c>
      <c r="N72" s="120">
        <f t="shared" si="31"/>
        <v>0</v>
      </c>
      <c r="O72" s="120">
        <f t="shared" si="31"/>
        <v>0</v>
      </c>
      <c r="P72" s="120">
        <f t="shared" si="31"/>
        <v>0</v>
      </c>
      <c r="Q72" s="120">
        <f t="shared" si="31"/>
        <v>0</v>
      </c>
    </row>
    <row r="73" spans="5:17" ht="10.5" hidden="1" outlineLevel="2">
      <c r="E73" s="6" t="s">
        <v>145</v>
      </c>
      <c r="J73" s="122">
        <f>IF(J72&lt;&gt;0,0,(ROUND(J70-(J66+J67+J69),5)&lt;&gt;0)*1)</f>
        <v>0</v>
      </c>
      <c r="K73" s="122">
        <f aca="true" t="shared" si="32" ref="K73:Q73">IF(K72&lt;&gt;0,0,(ROUND(K70-(K66+K67+K69),5)&lt;&gt;0)*1)</f>
        <v>0</v>
      </c>
      <c r="L73" s="122">
        <f t="shared" si="32"/>
        <v>0</v>
      </c>
      <c r="M73" s="122">
        <f t="shared" si="32"/>
        <v>0</v>
      </c>
      <c r="N73" s="122">
        <f t="shared" si="32"/>
        <v>0</v>
      </c>
      <c r="O73" s="122">
        <f t="shared" si="32"/>
        <v>0</v>
      </c>
      <c r="P73" s="122">
        <f t="shared" si="32"/>
        <v>0</v>
      </c>
      <c r="Q73" s="122">
        <f t="shared" si="32"/>
        <v>0</v>
      </c>
    </row>
    <row r="74" spans="4:17" ht="10.5" collapsed="1">
      <c r="D74" s="6" t="s">
        <v>148</v>
      </c>
      <c r="I74" s="123">
        <f>IF(ISERROR(SUM(J74:Q74)),0,MIN(SUM(J74:Q74),1))</f>
        <v>0</v>
      </c>
      <c r="J74" s="120">
        <f>MIN(SUM(J72:J73),1)</f>
        <v>0</v>
      </c>
      <c r="K74" s="120">
        <f aca="true" t="shared" si="33" ref="K74:Q74">MIN(SUM(K72:K73),1)</f>
        <v>0</v>
      </c>
      <c r="L74" s="120">
        <f t="shared" si="33"/>
        <v>0</v>
      </c>
      <c r="M74" s="120">
        <f t="shared" si="33"/>
        <v>0</v>
      </c>
      <c r="N74" s="120">
        <f t="shared" si="33"/>
        <v>0</v>
      </c>
      <c r="O74" s="120">
        <f t="shared" si="33"/>
        <v>0</v>
      </c>
      <c r="P74" s="120">
        <f t="shared" si="33"/>
        <v>0</v>
      </c>
      <c r="Q74" s="120">
        <f t="shared" si="33"/>
        <v>0</v>
      </c>
    </row>
    <row r="75" ht="10.5"/>
    <row r="76" ht="11.25">
      <c r="C76" s="110" t="str">
        <f>"Intangibles Balances ("&amp;INDEX(LU_Denom,DD_TS_Denom)&amp;")"</f>
        <v>Intangibles Balances ($Millions)</v>
      </c>
    </row>
    <row r="77" ht="10.5"/>
    <row r="78" spans="4:17" ht="10.5">
      <c r="D78" s="6" t="s">
        <v>139</v>
      </c>
      <c r="J78" s="108">
        <f>IF(J$12=1,Fcast_TA!$I$44,I82)</f>
        <v>11.5</v>
      </c>
      <c r="K78" s="108">
        <f>IF(K$12=1,Fcast_TA!$I$44,J82)</f>
        <v>13.375</v>
      </c>
      <c r="L78" s="108">
        <f>IF(L$12=1,Fcast_TA!$I$44,K82)</f>
        <v>15.296875</v>
      </c>
      <c r="M78" s="108">
        <f>IF(M$12=1,Fcast_TA!$I$44,L82)</f>
        <v>17.266796874999997</v>
      </c>
      <c r="N78" s="108">
        <f>IF(N$12=1,Fcast_TA!$I$44,M82)</f>
        <v>19.285966796874998</v>
      </c>
      <c r="O78" s="108">
        <f>IF(O$12=1,Fcast_TA!$I$44,N82)</f>
        <v>21.355615966796872</v>
      </c>
      <c r="P78" s="108">
        <f>IF(P$12=1,Fcast_TA!$I$44,O82)</f>
        <v>23.477006365966794</v>
      </c>
      <c r="Q78" s="108">
        <f>IF(Q$12=1,Fcast_TA!$I$44,P82)</f>
        <v>25.651431525115964</v>
      </c>
    </row>
    <row r="79" spans="4:17" ht="10.5">
      <c r="D79" s="7" t="str">
        <f>C22</f>
        <v>Capital Expenditure - Intangibles</v>
      </c>
      <c r="J79" s="108">
        <f>J22</f>
        <v>2.5</v>
      </c>
      <c r="K79" s="108">
        <f aca="true" t="shared" si="34" ref="K79:Q79">K22</f>
        <v>2.5625</v>
      </c>
      <c r="L79" s="108">
        <f t="shared" si="34"/>
        <v>2.6265625</v>
      </c>
      <c r="M79" s="108">
        <f t="shared" si="34"/>
        <v>2.6922265624999997</v>
      </c>
      <c r="N79" s="108">
        <f t="shared" si="34"/>
        <v>2.7595322265624995</v>
      </c>
      <c r="O79" s="108">
        <f t="shared" si="34"/>
        <v>2.8285205322265616</v>
      </c>
      <c r="P79" s="108">
        <f t="shared" si="34"/>
        <v>2.8992335455322253</v>
      </c>
      <c r="Q79" s="108">
        <f t="shared" si="34"/>
        <v>2.971714384170531</v>
      </c>
    </row>
    <row r="80" spans="4:17" ht="10.5" hidden="1" outlineLevel="2">
      <c r="D80" s="6" t="s">
        <v>157</v>
      </c>
      <c r="J80" s="124">
        <f>Fcast_TA!J44</f>
        <v>0.25</v>
      </c>
      <c r="K80" s="124">
        <f>Fcast_TA!K44</f>
        <v>0.25</v>
      </c>
      <c r="L80" s="124">
        <f>Fcast_TA!L44</f>
        <v>0.25</v>
      </c>
      <c r="M80" s="124">
        <f>Fcast_TA!M44</f>
        <v>0.25</v>
      </c>
      <c r="N80" s="124">
        <f>Fcast_TA!N44</f>
        <v>0.25</v>
      </c>
      <c r="O80" s="124">
        <f>Fcast_TA!O44</f>
        <v>0.25</v>
      </c>
      <c r="P80" s="124">
        <f>Fcast_TA!P44</f>
        <v>0.25</v>
      </c>
      <c r="Q80" s="124">
        <f>Fcast_TA!Q44</f>
        <v>0.25</v>
      </c>
    </row>
    <row r="81" spans="4:17" s="14" customFormat="1" ht="10.5" collapsed="1">
      <c r="D81" s="111" t="s">
        <v>158</v>
      </c>
      <c r="J81" s="112">
        <f>-J79*J80</f>
        <v>-0.625</v>
      </c>
      <c r="K81" s="112">
        <f aca="true" t="shared" si="35" ref="K81:Q81">-K79*K80</f>
        <v>-0.640625</v>
      </c>
      <c r="L81" s="112">
        <f t="shared" si="35"/>
        <v>-0.656640625</v>
      </c>
      <c r="M81" s="112">
        <f t="shared" si="35"/>
        <v>-0.6730566406249999</v>
      </c>
      <c r="N81" s="112">
        <f t="shared" si="35"/>
        <v>-0.6898830566406249</v>
      </c>
      <c r="O81" s="112">
        <f t="shared" si="35"/>
        <v>-0.7071301330566404</v>
      </c>
      <c r="P81" s="112">
        <f t="shared" si="35"/>
        <v>-0.7248083863830563</v>
      </c>
      <c r="Q81" s="112">
        <f t="shared" si="35"/>
        <v>-0.7429285960426327</v>
      </c>
    </row>
    <row r="82" spans="4:17" ht="10.5">
      <c r="D82" s="115" t="s">
        <v>142</v>
      </c>
      <c r="J82" s="116">
        <f>J78+J79+J81</f>
        <v>13.375</v>
      </c>
      <c r="K82" s="116">
        <f aca="true" t="shared" si="36" ref="K82:Q82">K78+K79+K81</f>
        <v>15.296875</v>
      </c>
      <c r="L82" s="116">
        <f t="shared" si="36"/>
        <v>17.266796874999997</v>
      </c>
      <c r="M82" s="116">
        <f t="shared" si="36"/>
        <v>19.285966796874998</v>
      </c>
      <c r="N82" s="116">
        <f t="shared" si="36"/>
        <v>21.355615966796872</v>
      </c>
      <c r="O82" s="116">
        <f t="shared" si="36"/>
        <v>23.477006365966794</v>
      </c>
      <c r="P82" s="116">
        <f t="shared" si="36"/>
        <v>25.651431525115964</v>
      </c>
      <c r="Q82" s="116">
        <f t="shared" si="36"/>
        <v>27.880217313243865</v>
      </c>
    </row>
    <row r="83" ht="10.5"/>
    <row r="84" spans="5:17" ht="10.5" hidden="1" outlineLevel="2">
      <c r="E84" s="6" t="s">
        <v>144</v>
      </c>
      <c r="J84" s="120">
        <f>IF(ISERROR(J82-(J78+J79+J81)),1,0)</f>
        <v>0</v>
      </c>
      <c r="K84" s="120">
        <f aca="true" t="shared" si="37" ref="K84:Q84">IF(ISERROR(K82-(K78+K79+K81)),1,0)</f>
        <v>0</v>
      </c>
      <c r="L84" s="120">
        <f t="shared" si="37"/>
        <v>0</v>
      </c>
      <c r="M84" s="120">
        <f t="shared" si="37"/>
        <v>0</v>
      </c>
      <c r="N84" s="120">
        <f t="shared" si="37"/>
        <v>0</v>
      </c>
      <c r="O84" s="120">
        <f t="shared" si="37"/>
        <v>0</v>
      </c>
      <c r="P84" s="120">
        <f t="shared" si="37"/>
        <v>0</v>
      </c>
      <c r="Q84" s="120">
        <f t="shared" si="37"/>
        <v>0</v>
      </c>
    </row>
    <row r="85" spans="5:17" ht="10.5" hidden="1" outlineLevel="2">
      <c r="E85" s="6" t="s">
        <v>145</v>
      </c>
      <c r="J85" s="122">
        <f>IF(J84&lt;&gt;0,0,(ROUND(J82-(J78+J79+J81),5)&lt;&gt;0)*1)</f>
        <v>0</v>
      </c>
      <c r="K85" s="122">
        <f aca="true" t="shared" si="38" ref="K85:Q85">IF(K84&lt;&gt;0,0,(ROUND(K82-(K78+K79+K81),5)&lt;&gt;0)*1)</f>
        <v>0</v>
      </c>
      <c r="L85" s="122">
        <f t="shared" si="38"/>
        <v>0</v>
      </c>
      <c r="M85" s="122">
        <f t="shared" si="38"/>
        <v>0</v>
      </c>
      <c r="N85" s="122">
        <f t="shared" si="38"/>
        <v>0</v>
      </c>
      <c r="O85" s="122">
        <f t="shared" si="38"/>
        <v>0</v>
      </c>
      <c r="P85" s="122">
        <f t="shared" si="38"/>
        <v>0</v>
      </c>
      <c r="Q85" s="122">
        <f t="shared" si="38"/>
        <v>0</v>
      </c>
    </row>
    <row r="86" spans="4:17" ht="10.5" collapsed="1">
      <c r="D86" s="6" t="s">
        <v>148</v>
      </c>
      <c r="I86" s="123">
        <f>IF(ISERROR(SUM(J86:Q86)),0,MIN(SUM(J86:Q86),1))</f>
        <v>0</v>
      </c>
      <c r="J86" s="120">
        <f>MIN(SUM(J84:J85),1)</f>
        <v>0</v>
      </c>
      <c r="K86" s="120">
        <f aca="true" t="shared" si="39" ref="K86:Q86">MIN(SUM(K84:K85),1)</f>
        <v>0</v>
      </c>
      <c r="L86" s="120">
        <f t="shared" si="39"/>
        <v>0</v>
      </c>
      <c r="M86" s="120">
        <f t="shared" si="39"/>
        <v>0</v>
      </c>
      <c r="N86" s="120">
        <f t="shared" si="39"/>
        <v>0</v>
      </c>
      <c r="O86" s="120">
        <f t="shared" si="39"/>
        <v>0</v>
      </c>
      <c r="P86" s="120">
        <f t="shared" si="39"/>
        <v>0</v>
      </c>
      <c r="Q86" s="120">
        <f t="shared" si="39"/>
        <v>0</v>
      </c>
    </row>
    <row r="87" ht="10.5"/>
    <row r="88" ht="10.5"/>
    <row r="89" ht="10.5"/>
  </sheetData>
  <sheetProtection/>
  <mergeCells count="1">
    <mergeCell ref="B3:F3"/>
  </mergeCells>
  <conditionalFormatting sqref="D42">
    <cfRule type="expression" priority="9" dxfId="20" stopIfTrue="1">
      <formula>I42&lt;&gt;0</formula>
    </cfRule>
  </conditionalFormatting>
  <conditionalFormatting sqref="J55:Q59 J84:Q86 J72:Q74 J38:Q42">
    <cfRule type="cellIs" priority="8" dxfId="20" operator="notEqual" stopIfTrue="1">
      <formula>0</formula>
    </cfRule>
  </conditionalFormatting>
  <conditionalFormatting sqref="D59">
    <cfRule type="expression" priority="7" dxfId="20" stopIfTrue="1">
      <formula>I59&lt;&gt;0</formula>
    </cfRule>
  </conditionalFormatting>
  <conditionalFormatting sqref="D74">
    <cfRule type="expression" priority="6" dxfId="20" stopIfTrue="1">
      <formula>I74&lt;&gt;0</formula>
    </cfRule>
  </conditionalFormatting>
  <conditionalFormatting sqref="D86">
    <cfRule type="expression" priority="5" dxfId="20" stopIfTrue="1">
      <formula>I86&lt;&gt;0</formula>
    </cfRule>
  </conditionalFormatting>
  <conditionalFormatting sqref="I42">
    <cfRule type="cellIs" priority="4" dxfId="20" operator="notEqual" stopIfTrue="1">
      <formula>0</formula>
    </cfRule>
  </conditionalFormatting>
  <conditionalFormatting sqref="I59">
    <cfRule type="cellIs" priority="3" dxfId="20" operator="notEqual" stopIfTrue="1">
      <formula>0</formula>
    </cfRule>
  </conditionalFormatting>
  <conditionalFormatting sqref="I74">
    <cfRule type="cellIs" priority="2" dxfId="20" operator="notEqual" stopIfTrue="1">
      <formula>0</formula>
    </cfRule>
  </conditionalFormatting>
  <conditionalFormatting sqref="I86">
    <cfRule type="cellIs" priority="1" dxfId="20" operator="notEqual" stopIfTrue="1">
      <formula>0</formula>
    </cfRule>
  </conditionalFormatting>
  <hyperlinks>
    <hyperlink ref="B3" location="HL_Home" tooltip="Go to Table of Contents" display="HL_Home"/>
    <hyperlink ref="A4" location="$B$14" tooltip="Go to Top of Sheet" display="$B$14"/>
    <hyperlink ref="B4" location="HL_Sheet_Main_15" tooltip="Go to Previous Sheet" display="HL_Sheet_Main_15"/>
    <hyperlink ref="C4" location="HL_Sheet_Main_39" tooltip="Go to Next Sheet" display="HL_Sheet_Main_39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rowBreaks count="2" manualBreakCount="2">
    <brk id="24" min="1" max="16" man="1"/>
    <brk id="61" min="1" max="16" man="1"/>
  </rowBreaks>
  <legacy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159</v>
      </c>
    </row>
    <row r="10" ht="16.5">
      <c r="C10" s="21" t="s">
        <v>160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26</v>
      </c>
    </row>
    <row r="18" ht="10.5">
      <c r="C18" s="24" t="s">
        <v>161</v>
      </c>
    </row>
    <row r="19" ht="10.5">
      <c r="C19" s="24"/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7" tooltip="Go to Previous Sheet" display="HL_Sheet_Main_17"/>
    <hyperlink ref="D13" location="HL_Sheet_Main_8" tooltip="Go to Next Sheet" display="HL_Sheet_Main_8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1" ht="10.5"/>
    <row r="2" ht="10.5"/>
    <row r="3" ht="10.5"/>
    <row r="4" ht="10.5"/>
    <row r="5" ht="10.5"/>
    <row r="6" ht="10.5"/>
    <row r="7" ht="10.5"/>
    <row r="8" ht="10.5"/>
    <row r="9" ht="18">
      <c r="C9" s="1" t="s">
        <v>162</v>
      </c>
    </row>
    <row r="10" ht="16.5">
      <c r="C10" s="21" t="s">
        <v>163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56</v>
      </c>
    </row>
    <row r="18" ht="10.5">
      <c r="C18" s="24" t="s">
        <v>164</v>
      </c>
    </row>
    <row r="19" ht="10.5">
      <c r="C19" s="24"/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39" tooltip="Go to Previous Sheet" display="HL_Sheet_Main_39"/>
    <hyperlink ref="D13" location="HL_Sheet_Main_21" tooltip="Go to Next Sheet" display="HL_Sheet_Main_21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pane xSplit="1" ySplit="13" topLeftCell="B14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1.83203125" defaultRowHeight="10.5" outlineLevelRow="2"/>
  <cols>
    <col min="1" max="5" width="3.83203125" style="2" customWidth="1"/>
    <col min="6" max="16384" width="11.83203125" style="2" customWidth="1"/>
  </cols>
  <sheetData>
    <row r="1" ht="18">
      <c r="B1" s="1" t="s">
        <v>165</v>
      </c>
    </row>
    <row r="2" ht="15">
      <c r="B2" s="8" t="str">
        <f>Model_Name</f>
        <v>SMA 13. Multiple Workbooks - Best Practice Model Example 2</v>
      </c>
    </row>
    <row r="3" spans="2:6" ht="10.5">
      <c r="B3" s="151" t="s">
        <v>1</v>
      </c>
      <c r="C3" s="151"/>
      <c r="D3" s="151"/>
      <c r="E3" s="151"/>
      <c r="F3" s="151"/>
    </row>
    <row r="4" spans="1:6" ht="12.75">
      <c r="A4" s="94" t="s">
        <v>10</v>
      </c>
      <c r="B4" s="22" t="s">
        <v>24</v>
      </c>
      <c r="C4" s="23" t="s">
        <v>25</v>
      </c>
      <c r="D4" s="95" t="s">
        <v>36</v>
      </c>
      <c r="E4" s="95" t="s">
        <v>37</v>
      </c>
      <c r="F4" s="96" t="s">
        <v>38</v>
      </c>
    </row>
    <row r="5" ht="10.5"/>
    <row r="6" spans="2:17" ht="10.5">
      <c r="B6" s="97">
        <f>IF(TS_Pers_In_Yr=1,"",TS_Per_Type_Name&amp;" Ending")</f>
      </c>
      <c r="J6" s="98" t="str">
        <f aca="true" t="shared" si="0" ref="J6:Q6">IF(TS_Pers_In_Yr=1,"",LEFT(INDEX(LU_Mth_Names,MONTH(J9)),3)&amp;"-"&amp;RIGHT(YEAR(J9),2))&amp;" "</f>
        <v> </v>
      </c>
      <c r="K6" s="98" t="str">
        <f t="shared" si="0"/>
        <v> </v>
      </c>
      <c r="L6" s="98" t="str">
        <f t="shared" si="0"/>
        <v> </v>
      </c>
      <c r="M6" s="98" t="str">
        <f t="shared" si="0"/>
        <v> </v>
      </c>
      <c r="N6" s="98" t="str">
        <f t="shared" si="0"/>
        <v> </v>
      </c>
      <c r="O6" s="98" t="str">
        <f t="shared" si="0"/>
        <v> </v>
      </c>
      <c r="P6" s="98" t="str">
        <f t="shared" si="0"/>
        <v> </v>
      </c>
      <c r="Q6" s="98" t="str">
        <f t="shared" si="0"/>
        <v> </v>
      </c>
    </row>
    <row r="7" spans="2:17" ht="10.5">
      <c r="B7" s="99" t="str">
        <f>IF(TS_Pers_In_Yr=1,Yr_Name&amp;" Ending "&amp;DAY(TS_Per_1_End_Date)&amp;" "&amp;INDEX(LU_Mth_Names,DD_TS_Fin_YE_Mth),TS_Per_Type_Name)</f>
        <v>Year Ending 31 December</v>
      </c>
      <c r="C7" s="12"/>
      <c r="D7" s="12"/>
      <c r="E7" s="12"/>
      <c r="F7" s="12"/>
      <c r="G7" s="12"/>
      <c r="H7" s="12"/>
      <c r="I7" s="12"/>
      <c r="J7" s="100" t="str">
        <f aca="true" t="shared" si="1" ref="J7:Q7">IF(TS_Pers_In_Yr=1,J10&amp;" ",J11)&amp;IF(CB_TS_Show_Hist_Fcast_Pers,IF(J12&lt;=TS_Actual_Pers,TS_Actual_Per_Title,IF(J12&lt;=TS_Actual_Pers+TS_Budget_Pers,TS_Budget_Per_Title,TS_Fcast_Per_Title))&amp;" ","")</f>
        <v>2010 (F) </v>
      </c>
      <c r="K7" s="100" t="str">
        <f t="shared" si="1"/>
        <v>2011 (F) </v>
      </c>
      <c r="L7" s="100" t="str">
        <f t="shared" si="1"/>
        <v>2012 (F) </v>
      </c>
      <c r="M7" s="100" t="str">
        <f t="shared" si="1"/>
        <v>2013 (F) </v>
      </c>
      <c r="N7" s="100" t="str">
        <f t="shared" si="1"/>
        <v>2014 (F) </v>
      </c>
      <c r="O7" s="100" t="str">
        <f t="shared" si="1"/>
        <v>2015 (F) </v>
      </c>
      <c r="P7" s="100" t="str">
        <f t="shared" si="1"/>
        <v>2016 (F) </v>
      </c>
      <c r="Q7" s="100" t="str">
        <f t="shared" si="1"/>
        <v>2017 (F) </v>
      </c>
    </row>
    <row r="8" spans="2:17" ht="10.5" hidden="1" outlineLevel="2">
      <c r="B8" s="24" t="s">
        <v>106</v>
      </c>
      <c r="J8" s="101">
        <f aca="true" t="shared" si="2" ref="J8:Q8">IF(J12=1,TS_Start_Date,I9+1)</f>
        <v>40179</v>
      </c>
      <c r="K8" s="101">
        <f t="shared" si="2"/>
        <v>40544</v>
      </c>
      <c r="L8" s="101">
        <f t="shared" si="2"/>
        <v>40909</v>
      </c>
      <c r="M8" s="101">
        <f t="shared" si="2"/>
        <v>41275</v>
      </c>
      <c r="N8" s="101">
        <f t="shared" si="2"/>
        <v>41640</v>
      </c>
      <c r="O8" s="101">
        <f t="shared" si="2"/>
        <v>42005</v>
      </c>
      <c r="P8" s="101">
        <f t="shared" si="2"/>
        <v>42370</v>
      </c>
      <c r="Q8" s="101">
        <f t="shared" si="2"/>
        <v>42736</v>
      </c>
    </row>
    <row r="9" spans="2:17" ht="10.5" hidden="1" outlineLevel="2">
      <c r="B9" s="24" t="s">
        <v>107</v>
      </c>
      <c r="J9" s="101">
        <f aca="true" t="shared" si="3" ref="J9:Q9">IF(J12=1,TS_Per_1_End_Date,IF(TS_Mth_End,EOMONTH(EDATE(TS_Per_1_FY_Start_Date,(TS_Per_1_Number+J12-1)*TS_Mths_In_Per-1),0),EDATE(TS_Per_1_FY_Start_Date,(TS_Per_1_Number+J12-1)*TS_Mths_In_Per)-1))</f>
        <v>40543</v>
      </c>
      <c r="K9" s="101">
        <f t="shared" si="3"/>
        <v>40908</v>
      </c>
      <c r="L9" s="101">
        <f t="shared" si="3"/>
        <v>41274</v>
      </c>
      <c r="M9" s="101">
        <f t="shared" si="3"/>
        <v>41639</v>
      </c>
      <c r="N9" s="101">
        <f t="shared" si="3"/>
        <v>42004</v>
      </c>
      <c r="O9" s="101">
        <f t="shared" si="3"/>
        <v>42369</v>
      </c>
      <c r="P9" s="101">
        <f t="shared" si="3"/>
        <v>42735</v>
      </c>
      <c r="Q9" s="101">
        <f t="shared" si="3"/>
        <v>43100</v>
      </c>
    </row>
    <row r="10" spans="2:17" ht="10.5" hidden="1" outlineLevel="2">
      <c r="B10" s="24" t="s">
        <v>108</v>
      </c>
      <c r="J10" s="102">
        <f aca="true" t="shared" si="4" ref="J10:Q10">YEAR(TS_Per_1_FY_End_Date)+INT((TS_Per_1_Number+J12-2)/TS_Pers_In_Yr)</f>
        <v>2010</v>
      </c>
      <c r="K10" s="102">
        <f t="shared" si="4"/>
        <v>2011</v>
      </c>
      <c r="L10" s="102">
        <f t="shared" si="4"/>
        <v>2012</v>
      </c>
      <c r="M10" s="102">
        <f t="shared" si="4"/>
        <v>2013</v>
      </c>
      <c r="N10" s="102">
        <f t="shared" si="4"/>
        <v>2014</v>
      </c>
      <c r="O10" s="102">
        <f t="shared" si="4"/>
        <v>2015</v>
      </c>
      <c r="P10" s="102">
        <f t="shared" si="4"/>
        <v>2016</v>
      </c>
      <c r="Q10" s="102">
        <f t="shared" si="4"/>
        <v>2017</v>
      </c>
    </row>
    <row r="11" spans="2:17" ht="10.5" hidden="1" outlineLevel="2">
      <c r="B11" s="24" t="s">
        <v>109</v>
      </c>
      <c r="J11" s="103" t="str">
        <f aca="true" t="shared" si="5" ref="J11:Q11">IF(TS_Pers_In_Yr=1,Yr_Name,TS_Per_Type_Prefix&amp;IF(MOD(TS_Per_1_Number+J12-1,TS_Pers_In_Yr)=0,TS_Pers_In_Yr,MOD(TS_Per_1_Number+J12-1,TS_Pers_In_Yr)))&amp;" "</f>
        <v>Year </v>
      </c>
      <c r="K11" s="103" t="str">
        <f t="shared" si="5"/>
        <v>Year </v>
      </c>
      <c r="L11" s="103" t="str">
        <f t="shared" si="5"/>
        <v>Year </v>
      </c>
      <c r="M11" s="103" t="str">
        <f t="shared" si="5"/>
        <v>Year </v>
      </c>
      <c r="N11" s="103" t="str">
        <f t="shared" si="5"/>
        <v>Year </v>
      </c>
      <c r="O11" s="103" t="str">
        <f t="shared" si="5"/>
        <v>Year </v>
      </c>
      <c r="P11" s="103" t="str">
        <f t="shared" si="5"/>
        <v>Year </v>
      </c>
      <c r="Q11" s="103" t="str">
        <f t="shared" si="5"/>
        <v>Year </v>
      </c>
    </row>
    <row r="12" spans="2:17" ht="10.5" hidden="1" outlineLevel="2">
      <c r="B12" s="24" t="s">
        <v>110</v>
      </c>
      <c r="J12" s="104">
        <f>COLUMN(J12)-COLUMN($J12)+1</f>
        <v>1</v>
      </c>
      <c r="K12" s="104">
        <f aca="true" t="shared" si="6" ref="K12:Q12">COLUMN(K12)-COLUMN($J12)+1</f>
        <v>2</v>
      </c>
      <c r="L12" s="104">
        <f t="shared" si="6"/>
        <v>3</v>
      </c>
      <c r="M12" s="104">
        <f t="shared" si="6"/>
        <v>4</v>
      </c>
      <c r="N12" s="104">
        <f t="shared" si="6"/>
        <v>5</v>
      </c>
      <c r="O12" s="104">
        <f t="shared" si="6"/>
        <v>6</v>
      </c>
      <c r="P12" s="104">
        <f t="shared" si="6"/>
        <v>7</v>
      </c>
      <c r="Q12" s="104">
        <f t="shared" si="6"/>
        <v>8</v>
      </c>
    </row>
    <row r="13" spans="2:17" ht="10.5" hidden="1" outlineLevel="2">
      <c r="B13" s="105" t="s">
        <v>111</v>
      </c>
      <c r="C13" s="12"/>
      <c r="D13" s="12"/>
      <c r="E13" s="12"/>
      <c r="F13" s="12"/>
      <c r="G13" s="12"/>
      <c r="H13" s="12"/>
      <c r="I13" s="12"/>
      <c r="J13" s="106" t="str">
        <f>J10&amp;"-"&amp;J11</f>
        <v>2010-Year </v>
      </c>
      <c r="K13" s="106" t="str">
        <f aca="true" t="shared" si="7" ref="K13:Q13">K10&amp;"-"&amp;K11</f>
        <v>2011-Year </v>
      </c>
      <c r="L13" s="106" t="str">
        <f t="shared" si="7"/>
        <v>2012-Year </v>
      </c>
      <c r="M13" s="106" t="str">
        <f t="shared" si="7"/>
        <v>2013-Year </v>
      </c>
      <c r="N13" s="106" t="str">
        <f t="shared" si="7"/>
        <v>2014-Year </v>
      </c>
      <c r="O13" s="106" t="str">
        <f t="shared" si="7"/>
        <v>2015-Year </v>
      </c>
      <c r="P13" s="106" t="str">
        <f t="shared" si="7"/>
        <v>2016-Year </v>
      </c>
      <c r="Q13" s="106" t="str">
        <f t="shared" si="7"/>
        <v>2017-Year </v>
      </c>
    </row>
    <row r="14" ht="10.5" collapsed="1"/>
    <row r="15" ht="10.5"/>
    <row r="16" ht="12.75">
      <c r="B16" s="125" t="str">
        <f>Fcast_TO!B16</f>
        <v>Operational - Outputs</v>
      </c>
    </row>
    <row r="17" ht="10.5"/>
    <row r="18" spans="3:17" ht="10.5">
      <c r="C18" s="7" t="str">
        <f>Fcast_TO!C18</f>
        <v>Revenue</v>
      </c>
      <c r="J18" s="108">
        <f>Fcast_TO!J18</f>
        <v>125</v>
      </c>
      <c r="K18" s="108">
        <f>Fcast_TO!K18</f>
        <v>128.125</v>
      </c>
      <c r="L18" s="108">
        <f>Fcast_TO!L18</f>
        <v>131.328125</v>
      </c>
      <c r="M18" s="108">
        <f>Fcast_TO!M18</f>
        <v>134.611328125</v>
      </c>
      <c r="N18" s="108">
        <f>Fcast_TO!N18</f>
        <v>137.976611328125</v>
      </c>
      <c r="O18" s="108">
        <f>Fcast_TO!O18</f>
        <v>141.4260266113281</v>
      </c>
      <c r="P18" s="108">
        <f>Fcast_TO!P18</f>
        <v>144.96167727661128</v>
      </c>
      <c r="Q18" s="108">
        <f>Fcast_TO!Q18</f>
        <v>148.58571920852654</v>
      </c>
    </row>
    <row r="19" spans="3:17" ht="10.5">
      <c r="C19" s="7" t="str">
        <f>Fcast_TO!C19</f>
        <v>Cost of Goods Sold</v>
      </c>
      <c r="J19" s="108">
        <f>Fcast_TO!J19</f>
        <v>25</v>
      </c>
      <c r="K19" s="108">
        <f>Fcast_TO!K19</f>
        <v>25.624999999999996</v>
      </c>
      <c r="L19" s="108">
        <f>Fcast_TO!L19</f>
        <v>26.265624999999993</v>
      </c>
      <c r="M19" s="108">
        <f>Fcast_TO!M19</f>
        <v>26.92226562499999</v>
      </c>
      <c r="N19" s="108">
        <f>Fcast_TO!N19</f>
        <v>27.59532226562499</v>
      </c>
      <c r="O19" s="108">
        <f>Fcast_TO!O19</f>
        <v>28.28520532226561</v>
      </c>
      <c r="P19" s="108">
        <f>Fcast_TO!P19</f>
        <v>28.992335455322248</v>
      </c>
      <c r="Q19" s="108">
        <f>Fcast_TO!Q19</f>
        <v>29.7171438417053</v>
      </c>
    </row>
    <row r="20" spans="3:17" ht="10.5">
      <c r="C20" s="7" t="str">
        <f>Fcast_TO!C20</f>
        <v>Operating Expenditure</v>
      </c>
      <c r="J20" s="126">
        <f>Fcast_TO!J20</f>
        <v>40</v>
      </c>
      <c r="K20" s="108">
        <f>Fcast_TO!K20</f>
        <v>41</v>
      </c>
      <c r="L20" s="108">
        <f>Fcast_TO!L20</f>
        <v>42.025</v>
      </c>
      <c r="M20" s="108">
        <f>Fcast_TO!M20</f>
        <v>43.075624999999995</v>
      </c>
      <c r="N20" s="108">
        <f>Fcast_TO!N20</f>
        <v>44.15251562499999</v>
      </c>
      <c r="O20" s="108">
        <f>Fcast_TO!O20</f>
        <v>45.256328515624986</v>
      </c>
      <c r="P20" s="108">
        <f>Fcast_TO!P20</f>
        <v>46.387736728515605</v>
      </c>
      <c r="Q20" s="108">
        <f>Fcast_TO!Q20</f>
        <v>47.547430146728495</v>
      </c>
    </row>
    <row r="21" spans="3:17" ht="10.5">
      <c r="C21" s="7" t="str">
        <f>Fcast_TO!C21</f>
        <v>Capital Expenditure - Assets</v>
      </c>
      <c r="J21" s="108">
        <f>Fcast_TO!J21</f>
        <v>15</v>
      </c>
      <c r="K21" s="108">
        <f>Fcast_TO!K21</f>
        <v>15.374999999999998</v>
      </c>
      <c r="L21" s="108">
        <f>Fcast_TO!L21</f>
        <v>15.759374999999997</v>
      </c>
      <c r="M21" s="108">
        <f>Fcast_TO!M21</f>
        <v>16.153359374999994</v>
      </c>
      <c r="N21" s="108">
        <f>Fcast_TO!N21</f>
        <v>16.557193359374992</v>
      </c>
      <c r="O21" s="108">
        <f>Fcast_TO!O21</f>
        <v>16.971123193359364</v>
      </c>
      <c r="P21" s="108">
        <f>Fcast_TO!P21</f>
        <v>17.395401273193347</v>
      </c>
      <c r="Q21" s="108">
        <f>Fcast_TO!Q21</f>
        <v>17.83028630502318</v>
      </c>
    </row>
    <row r="22" spans="3:17" ht="10.5">
      <c r="C22" s="7" t="str">
        <f>Fcast_TO!C22</f>
        <v>Capital Expenditure - Intangibles</v>
      </c>
      <c r="J22" s="108">
        <f>Fcast_TO!J22</f>
        <v>2.5</v>
      </c>
      <c r="K22" s="108">
        <f>Fcast_TO!K22</f>
        <v>2.5625</v>
      </c>
      <c r="L22" s="108">
        <f>Fcast_TO!L22</f>
        <v>2.6265625</v>
      </c>
      <c r="M22" s="108">
        <f>Fcast_TO!M22</f>
        <v>2.6922265624999997</v>
      </c>
      <c r="N22" s="108">
        <f>Fcast_TO!N22</f>
        <v>2.7595322265624995</v>
      </c>
      <c r="O22" s="108">
        <f>Fcast_TO!O22</f>
        <v>2.8285205322265616</v>
      </c>
      <c r="P22" s="108">
        <f>Fcast_TO!P22</f>
        <v>2.8992335455322253</v>
      </c>
      <c r="Q22" s="108">
        <f>Fcast_TO!Q22</f>
        <v>2.971714384170531</v>
      </c>
    </row>
    <row r="23" spans="3:17" ht="10.5">
      <c r="C23" s="7"/>
      <c r="J23" s="108"/>
      <c r="K23" s="108"/>
      <c r="L23" s="108"/>
      <c r="M23" s="108"/>
      <c r="N23" s="108"/>
      <c r="O23" s="108"/>
      <c r="P23" s="108"/>
      <c r="Q23" s="108"/>
    </row>
    <row r="24" ht="10.5"/>
    <row r="25" ht="12.75">
      <c r="B25" s="125" t="str">
        <f>Fcast_TO!B25</f>
        <v>Working Capital - Outputs</v>
      </c>
    </row>
    <row r="26" ht="12.75">
      <c r="B26" s="109"/>
    </row>
    <row r="27" ht="11.25">
      <c r="C27" s="127" t="str">
        <f>Fcast_TO!C27</f>
        <v>Accounts Receivable Balances ($Millions)</v>
      </c>
    </row>
    <row r="28" ht="10.5"/>
    <row r="29" spans="4:17" ht="10.5">
      <c r="D29" s="7" t="str">
        <f>Fcast_TO!D29</f>
        <v>Opening Balance</v>
      </c>
      <c r="J29" s="108">
        <f>Fcast_TO!J29</f>
        <v>21</v>
      </c>
      <c r="K29" s="108">
        <f>Fcast_TO!K29</f>
        <v>10.273972602739725</v>
      </c>
      <c r="L29" s="108">
        <f>Fcast_TO!L29</f>
        <v>10.530821917808218</v>
      </c>
      <c r="M29" s="108">
        <f>Fcast_TO!M29</f>
        <v>10.764600409836065</v>
      </c>
      <c r="N29" s="108">
        <f>Fcast_TO!N29</f>
        <v>11.06394477739726</v>
      </c>
      <c r="O29" s="108">
        <f>Fcast_TO!O29</f>
        <v>11.340543396832192</v>
      </c>
      <c r="P29" s="108">
        <f>Fcast_TO!P29</f>
        <v>11.624056981752995</v>
      </c>
      <c r="Q29" s="108">
        <f>Fcast_TO!Q29</f>
        <v>11.882104694804204</v>
      </c>
    </row>
    <row r="30" spans="4:17" ht="10.5">
      <c r="D30" s="7" t="str">
        <f>Fcast_TO!D30</f>
        <v>Revenue</v>
      </c>
      <c r="J30" s="108">
        <f>Fcast_TO!J30</f>
        <v>125</v>
      </c>
      <c r="K30" s="108">
        <f>Fcast_TO!K30</f>
        <v>128.125</v>
      </c>
      <c r="L30" s="108">
        <f>Fcast_TO!L30</f>
        <v>131.328125</v>
      </c>
      <c r="M30" s="108">
        <f>Fcast_TO!M30</f>
        <v>134.611328125</v>
      </c>
      <c r="N30" s="108">
        <f>Fcast_TO!N30</f>
        <v>137.976611328125</v>
      </c>
      <c r="O30" s="108">
        <f>Fcast_TO!O30</f>
        <v>141.4260266113281</v>
      </c>
      <c r="P30" s="108">
        <f>Fcast_TO!P30</f>
        <v>144.96167727661128</v>
      </c>
      <c r="Q30" s="108">
        <f>Fcast_TO!Q30</f>
        <v>148.58571920852654</v>
      </c>
    </row>
    <row r="31" spans="4:17" s="14" customFormat="1" ht="10.5">
      <c r="D31" s="128" t="str">
        <f>Fcast_TO!D31</f>
        <v>Cash Receipts</v>
      </c>
      <c r="J31" s="112">
        <f>Fcast_TO!J31</f>
        <v>-135.72602739726028</v>
      </c>
      <c r="K31" s="112">
        <f>Fcast_TO!K31</f>
        <v>-127.86815068493149</v>
      </c>
      <c r="L31" s="112">
        <f>Fcast_TO!L31</f>
        <v>-131.09434650797215</v>
      </c>
      <c r="M31" s="112">
        <f>Fcast_TO!M31</f>
        <v>-134.3119837574388</v>
      </c>
      <c r="N31" s="112">
        <f>Fcast_TO!N31</f>
        <v>-137.70001270869005</v>
      </c>
      <c r="O31" s="112">
        <f>Fcast_TO!O31</f>
        <v>-141.1425130264073</v>
      </c>
      <c r="P31" s="112">
        <f>Fcast_TO!P31</f>
        <v>-144.70362956356007</v>
      </c>
      <c r="Q31" s="112">
        <f>Fcast_TO!Q31</f>
        <v>-148.25529903687652</v>
      </c>
    </row>
    <row r="32" spans="4:17" ht="10.5">
      <c r="D32" s="129" t="str">
        <f>Fcast_TO!D32</f>
        <v>Movement in Accounts Receivable</v>
      </c>
      <c r="J32" s="114">
        <f>Fcast_TO!J32</f>
        <v>-10.726027397260282</v>
      </c>
      <c r="K32" s="114">
        <f>Fcast_TO!K32</f>
        <v>0.25684931506850717</v>
      </c>
      <c r="L32" s="114">
        <f>Fcast_TO!L32</f>
        <v>0.23377849202785228</v>
      </c>
      <c r="M32" s="114">
        <f>Fcast_TO!M32</f>
        <v>0.29934436756119</v>
      </c>
      <c r="N32" s="114">
        <f>Fcast_TO!N32</f>
        <v>0.27659861943493524</v>
      </c>
      <c r="O32" s="114">
        <f>Fcast_TO!O32</f>
        <v>0.28351358492079726</v>
      </c>
      <c r="P32" s="114">
        <f>Fcast_TO!P32</f>
        <v>0.2580477130512122</v>
      </c>
      <c r="Q32" s="114">
        <f>Fcast_TO!Q32</f>
        <v>0.3304201716500188</v>
      </c>
    </row>
    <row r="33" spans="4:17" ht="10.5">
      <c r="D33" s="130" t="str">
        <f>Fcast_TO!D33</f>
        <v>Closing Balance</v>
      </c>
      <c r="J33" s="116">
        <f>Fcast_TO!J33</f>
        <v>10.273972602739725</v>
      </c>
      <c r="K33" s="116">
        <f>Fcast_TO!K33</f>
        <v>10.530821917808218</v>
      </c>
      <c r="L33" s="116">
        <f>Fcast_TO!L33</f>
        <v>10.764600409836065</v>
      </c>
      <c r="M33" s="116">
        <f>Fcast_TO!M33</f>
        <v>11.06394477739726</v>
      </c>
      <c r="N33" s="116">
        <f>Fcast_TO!N33</f>
        <v>11.340543396832192</v>
      </c>
      <c r="O33" s="116">
        <f>Fcast_TO!O33</f>
        <v>11.624056981752995</v>
      </c>
      <c r="P33" s="116">
        <f>Fcast_TO!P33</f>
        <v>11.882104694804204</v>
      </c>
      <c r="Q33" s="116">
        <f>Fcast_TO!Q33</f>
        <v>12.212524866454237</v>
      </c>
    </row>
    <row r="35" ht="11.25">
      <c r="C35" s="127" t="str">
        <f>Fcast_TO!C44</f>
        <v>Accounts Payable Balances ($Millions)</v>
      </c>
    </row>
    <row r="36" ht="11.25">
      <c r="C36" s="110"/>
    </row>
    <row r="37" spans="4:17" ht="10.5">
      <c r="D37" s="7" t="str">
        <f>Fcast_TO!D46</f>
        <v>Opening Balance</v>
      </c>
      <c r="J37" s="108">
        <f>Fcast_TO!J46</f>
        <v>16</v>
      </c>
      <c r="K37" s="108">
        <f>Fcast_TO!K46</f>
        <v>8.013698630136986</v>
      </c>
      <c r="L37" s="108">
        <f>Fcast_TO!L46</f>
        <v>8.21404109589041</v>
      </c>
      <c r="M37" s="108">
        <f>Fcast_TO!M46</f>
        <v>8.39638831967213</v>
      </c>
      <c r="N37" s="108">
        <f>Fcast_TO!N46</f>
        <v>8.629876926369862</v>
      </c>
      <c r="O37" s="108">
        <f>Fcast_TO!O46</f>
        <v>8.845623849529108</v>
      </c>
      <c r="P37" s="108">
        <f>Fcast_TO!P46</f>
        <v>9.066764445767335</v>
      </c>
      <c r="Q37" s="108">
        <f>Fcast_TO!Q46</f>
        <v>9.268041661947276</v>
      </c>
    </row>
    <row r="38" spans="4:17" ht="10.5">
      <c r="D38" s="7" t="str">
        <f>Fcast_TO!D47</f>
        <v>Costs</v>
      </c>
      <c r="J38" s="108">
        <f>Fcast_TO!J47</f>
        <v>65</v>
      </c>
      <c r="K38" s="108">
        <f>Fcast_TO!K47</f>
        <v>66.625</v>
      </c>
      <c r="L38" s="108">
        <f>Fcast_TO!L47</f>
        <v>68.29062499999999</v>
      </c>
      <c r="M38" s="108">
        <f>Fcast_TO!M47</f>
        <v>69.99789062499998</v>
      </c>
      <c r="N38" s="108">
        <f>Fcast_TO!N47</f>
        <v>71.74783789062498</v>
      </c>
      <c r="O38" s="108">
        <f>Fcast_TO!O47</f>
        <v>73.5415338378906</v>
      </c>
      <c r="P38" s="108">
        <f>Fcast_TO!P47</f>
        <v>75.38007218383785</v>
      </c>
      <c r="Q38" s="108">
        <f>Fcast_TO!Q47</f>
        <v>77.2645739884338</v>
      </c>
    </row>
    <row r="39" spans="4:17" s="14" customFormat="1" ht="10.5">
      <c r="D39" s="128" t="str">
        <f>Fcast_TO!D48</f>
        <v>Cash Payments</v>
      </c>
      <c r="J39" s="112">
        <f>Fcast_TO!J48</f>
        <v>-72.98630136986301</v>
      </c>
      <c r="K39" s="112">
        <f>Fcast_TO!K48</f>
        <v>-66.42465753424658</v>
      </c>
      <c r="L39" s="112">
        <f>Fcast_TO!L48</f>
        <v>-68.10827777621827</v>
      </c>
      <c r="M39" s="112">
        <f>Fcast_TO!M48</f>
        <v>-69.76440201830225</v>
      </c>
      <c r="N39" s="112">
        <f>Fcast_TO!N48</f>
        <v>-71.53209096746573</v>
      </c>
      <c r="O39" s="112">
        <f>Fcast_TO!O48</f>
        <v>-73.32039324165237</v>
      </c>
      <c r="P39" s="112">
        <f>Fcast_TO!P48</f>
        <v>-75.17879496765791</v>
      </c>
      <c r="Q39" s="112">
        <f>Fcast_TO!Q48</f>
        <v>-77.00684625454677</v>
      </c>
    </row>
    <row r="40" spans="4:17" ht="10.5">
      <c r="D40" s="129" t="str">
        <f>Fcast_TO!D49</f>
        <v>Movement in Accounts Payable</v>
      </c>
      <c r="J40" s="114">
        <f>Fcast_TO!J49</f>
        <v>-7.986301369863014</v>
      </c>
      <c r="K40" s="114">
        <f>Fcast_TO!K49</f>
        <v>0.20034246575342252</v>
      </c>
      <c r="L40" s="114">
        <f>Fcast_TO!L49</f>
        <v>0.18234722378171853</v>
      </c>
      <c r="M40" s="114">
        <f>Fcast_TO!M49</f>
        <v>0.2334886066977333</v>
      </c>
      <c r="N40" s="114">
        <f>Fcast_TO!N49</f>
        <v>0.21574692315924437</v>
      </c>
      <c r="O40" s="114">
        <f>Fcast_TO!O49</f>
        <v>0.22114059623822868</v>
      </c>
      <c r="P40" s="114">
        <f>Fcast_TO!P49</f>
        <v>0.2012772161799461</v>
      </c>
      <c r="Q40" s="114">
        <f>Fcast_TO!Q49</f>
        <v>0.2577277338870232</v>
      </c>
    </row>
    <row r="41" spans="4:17" ht="10.5">
      <c r="D41" s="130" t="str">
        <f>Fcast_TO!D50</f>
        <v>Closing Balance</v>
      </c>
      <c r="J41" s="116">
        <f>Fcast_TO!J50</f>
        <v>8.013698630136986</v>
      </c>
      <c r="K41" s="116">
        <f>Fcast_TO!K50</f>
        <v>8.21404109589041</v>
      </c>
      <c r="L41" s="116">
        <f>Fcast_TO!L50</f>
        <v>8.39638831967213</v>
      </c>
      <c r="M41" s="116">
        <f>Fcast_TO!M50</f>
        <v>8.629876926369862</v>
      </c>
      <c r="N41" s="116">
        <f>Fcast_TO!N50</f>
        <v>8.845623849529108</v>
      </c>
      <c r="O41" s="116">
        <f>Fcast_TO!O50</f>
        <v>9.066764445767335</v>
      </c>
      <c r="P41" s="116">
        <f>Fcast_TO!P50</f>
        <v>9.268041661947276</v>
      </c>
      <c r="Q41" s="116">
        <f>Fcast_TO!Q50</f>
        <v>9.525769395834304</v>
      </c>
    </row>
    <row r="44" ht="12.75">
      <c r="B44" s="125" t="str">
        <f>Fcast_TO!B62</f>
        <v>Assets - Outputs</v>
      </c>
    </row>
    <row r="46" ht="11.25">
      <c r="C46" s="127" t="str">
        <f>Fcast_TO!C64</f>
        <v>Assets Balances ($Millions)</v>
      </c>
    </row>
    <row r="48" spans="4:17" ht="10.5">
      <c r="D48" s="7" t="str">
        <f>Fcast_TO!D66</f>
        <v>Opening Balance</v>
      </c>
      <c r="J48" s="108">
        <f>Fcast_TO!J66</f>
        <v>145</v>
      </c>
      <c r="K48" s="108">
        <f>Fcast_TO!K66</f>
        <v>146.5</v>
      </c>
      <c r="L48" s="108">
        <f>Fcast_TO!L66</f>
        <v>148.0375</v>
      </c>
      <c r="M48" s="108">
        <f>Fcast_TO!M66</f>
        <v>149.6134375</v>
      </c>
      <c r="N48" s="108">
        <f>Fcast_TO!N66</f>
        <v>151.22877343750002</v>
      </c>
      <c r="O48" s="108">
        <f>Fcast_TO!O66</f>
        <v>152.88449277343753</v>
      </c>
      <c r="P48" s="108">
        <f>Fcast_TO!P66</f>
        <v>154.5816050927735</v>
      </c>
      <c r="Q48" s="108">
        <f>Fcast_TO!Q66</f>
        <v>156.32114522009283</v>
      </c>
    </row>
    <row r="49" spans="4:17" ht="10.5">
      <c r="D49" s="7" t="str">
        <f>Fcast_TO!D67</f>
        <v>Capital Expenditure - Assets</v>
      </c>
      <c r="J49" s="108">
        <f>Fcast_TO!J67</f>
        <v>15</v>
      </c>
      <c r="K49" s="108">
        <f>Fcast_TO!K67</f>
        <v>15.374999999999998</v>
      </c>
      <c r="L49" s="108">
        <f>Fcast_TO!L67</f>
        <v>15.759374999999997</v>
      </c>
      <c r="M49" s="108">
        <f>Fcast_TO!M67</f>
        <v>16.153359374999994</v>
      </c>
      <c r="N49" s="108">
        <f>Fcast_TO!N67</f>
        <v>16.557193359374992</v>
      </c>
      <c r="O49" s="108">
        <f>Fcast_TO!O67</f>
        <v>16.971123193359364</v>
      </c>
      <c r="P49" s="108">
        <f>Fcast_TO!P67</f>
        <v>17.395401273193347</v>
      </c>
      <c r="Q49" s="108">
        <f>Fcast_TO!Q67</f>
        <v>17.83028630502318</v>
      </c>
    </row>
    <row r="50" spans="4:17" ht="10.5">
      <c r="D50" s="7" t="str">
        <f>Fcast_TO!D68</f>
        <v>Depreciation - % of Capital Expenditure</v>
      </c>
      <c r="J50" s="124">
        <f>Fcast_TO!J68</f>
        <v>0.9</v>
      </c>
      <c r="K50" s="124">
        <f>Fcast_TO!K68</f>
        <v>0.9</v>
      </c>
      <c r="L50" s="124">
        <f>Fcast_TO!L68</f>
        <v>0.9</v>
      </c>
      <c r="M50" s="124">
        <f>Fcast_TO!M68</f>
        <v>0.9</v>
      </c>
      <c r="N50" s="124">
        <f>Fcast_TO!N68</f>
        <v>0.9</v>
      </c>
      <c r="O50" s="124">
        <f>Fcast_TO!O68</f>
        <v>0.9</v>
      </c>
      <c r="P50" s="124">
        <f>Fcast_TO!P68</f>
        <v>0.9</v>
      </c>
      <c r="Q50" s="124">
        <f>Fcast_TO!Q68</f>
        <v>0.9</v>
      </c>
    </row>
    <row r="51" spans="4:17" s="14" customFormat="1" ht="10.5">
      <c r="D51" s="128" t="str">
        <f>Fcast_TO!D69</f>
        <v>Depreciation</v>
      </c>
      <c r="J51" s="112">
        <f>Fcast_TO!J69</f>
        <v>-13.5</v>
      </c>
      <c r="K51" s="112">
        <f>Fcast_TO!K69</f>
        <v>-13.837499999999999</v>
      </c>
      <c r="L51" s="112">
        <f>Fcast_TO!L69</f>
        <v>-14.183437499999997</v>
      </c>
      <c r="M51" s="112">
        <f>Fcast_TO!M69</f>
        <v>-14.538023437499994</v>
      </c>
      <c r="N51" s="112">
        <f>Fcast_TO!N69</f>
        <v>-14.901474023437492</v>
      </c>
      <c r="O51" s="112">
        <f>Fcast_TO!O69</f>
        <v>-15.274010874023428</v>
      </c>
      <c r="P51" s="112">
        <f>Fcast_TO!P69</f>
        <v>-15.655861145874013</v>
      </c>
      <c r="Q51" s="112">
        <f>Fcast_TO!Q69</f>
        <v>-16.04725767452086</v>
      </c>
    </row>
    <row r="52" spans="4:17" ht="10.5">
      <c r="D52" s="130" t="str">
        <f>Fcast_TO!D70</f>
        <v>Closing Balance</v>
      </c>
      <c r="J52" s="116">
        <f>Fcast_TO!J70</f>
        <v>146.5</v>
      </c>
      <c r="K52" s="116">
        <f>Fcast_TO!K70</f>
        <v>148.0375</v>
      </c>
      <c r="L52" s="116">
        <f>Fcast_TO!L70</f>
        <v>149.6134375</v>
      </c>
      <c r="M52" s="116">
        <f>Fcast_TO!M70</f>
        <v>151.22877343750002</v>
      </c>
      <c r="N52" s="116">
        <f>Fcast_TO!N70</f>
        <v>152.88449277343753</v>
      </c>
      <c r="O52" s="116">
        <f>Fcast_TO!O70</f>
        <v>154.5816050927735</v>
      </c>
      <c r="P52" s="116">
        <f>Fcast_TO!P70</f>
        <v>156.32114522009283</v>
      </c>
      <c r="Q52" s="116">
        <f>Fcast_TO!Q70</f>
        <v>158.10417385059515</v>
      </c>
    </row>
    <row r="54" ht="11.25">
      <c r="C54" s="127" t="str">
        <f>Fcast_TO!C76</f>
        <v>Intangibles Balances ($Millions)</v>
      </c>
    </row>
    <row r="56" spans="4:17" ht="10.5">
      <c r="D56" s="7" t="str">
        <f>Fcast_TO!D78</f>
        <v>Opening Balance</v>
      </c>
      <c r="J56" s="108">
        <f>Fcast_TO!J78</f>
        <v>11.5</v>
      </c>
      <c r="K56" s="108">
        <f>Fcast_TO!K78</f>
        <v>13.375</v>
      </c>
      <c r="L56" s="108">
        <f>Fcast_TO!L78</f>
        <v>15.296875</v>
      </c>
      <c r="M56" s="108">
        <f>Fcast_TO!M78</f>
        <v>17.266796874999997</v>
      </c>
      <c r="N56" s="108">
        <f>Fcast_TO!N78</f>
        <v>19.285966796874998</v>
      </c>
      <c r="O56" s="108">
        <f>Fcast_TO!O78</f>
        <v>21.355615966796872</v>
      </c>
      <c r="P56" s="108">
        <f>Fcast_TO!P78</f>
        <v>23.477006365966794</v>
      </c>
      <c r="Q56" s="108">
        <f>Fcast_TO!Q78</f>
        <v>25.651431525115964</v>
      </c>
    </row>
    <row r="57" spans="4:17" ht="10.5">
      <c r="D57" s="7" t="str">
        <f>Fcast_TO!D79</f>
        <v>Capital Expenditure - Intangibles</v>
      </c>
      <c r="J57" s="108">
        <f>Fcast_TO!J79</f>
        <v>2.5</v>
      </c>
      <c r="K57" s="108">
        <f>Fcast_TO!K79</f>
        <v>2.5625</v>
      </c>
      <c r="L57" s="108">
        <f>Fcast_TO!L79</f>
        <v>2.6265625</v>
      </c>
      <c r="M57" s="108">
        <f>Fcast_TO!M79</f>
        <v>2.6922265624999997</v>
      </c>
      <c r="N57" s="108">
        <f>Fcast_TO!N79</f>
        <v>2.7595322265624995</v>
      </c>
      <c r="O57" s="108">
        <f>Fcast_TO!O79</f>
        <v>2.8285205322265616</v>
      </c>
      <c r="P57" s="108">
        <f>Fcast_TO!P79</f>
        <v>2.8992335455322253</v>
      </c>
      <c r="Q57" s="108">
        <f>Fcast_TO!Q79</f>
        <v>2.971714384170531</v>
      </c>
    </row>
    <row r="58" spans="4:17" ht="10.5">
      <c r="D58" s="7" t="str">
        <f>Fcast_TO!D80</f>
        <v>Amortization - % of Capital Expenditure</v>
      </c>
      <c r="J58" s="124">
        <f>Fcast_TO!J80</f>
        <v>0.25</v>
      </c>
      <c r="K58" s="124">
        <f>Fcast_TO!K80</f>
        <v>0.25</v>
      </c>
      <c r="L58" s="124">
        <f>Fcast_TO!L80</f>
        <v>0.25</v>
      </c>
      <c r="M58" s="124">
        <f>Fcast_TO!M80</f>
        <v>0.25</v>
      </c>
      <c r="N58" s="124">
        <f>Fcast_TO!N80</f>
        <v>0.25</v>
      </c>
      <c r="O58" s="124">
        <f>Fcast_TO!O80</f>
        <v>0.25</v>
      </c>
      <c r="P58" s="124">
        <f>Fcast_TO!P80</f>
        <v>0.25</v>
      </c>
      <c r="Q58" s="124">
        <f>Fcast_TO!Q80</f>
        <v>0.25</v>
      </c>
    </row>
    <row r="59" spans="4:17" s="14" customFormat="1" ht="10.5">
      <c r="D59" s="128" t="str">
        <f>Fcast_TO!D81</f>
        <v>Amortization</v>
      </c>
      <c r="J59" s="112">
        <f>Fcast_TO!J81</f>
        <v>-0.625</v>
      </c>
      <c r="K59" s="112">
        <f>Fcast_TO!K81</f>
        <v>-0.640625</v>
      </c>
      <c r="L59" s="112">
        <f>Fcast_TO!L81</f>
        <v>-0.656640625</v>
      </c>
      <c r="M59" s="112">
        <f>Fcast_TO!M81</f>
        <v>-0.6730566406249999</v>
      </c>
      <c r="N59" s="112">
        <f>Fcast_TO!N81</f>
        <v>-0.6898830566406249</v>
      </c>
      <c r="O59" s="112">
        <f>Fcast_TO!O81</f>
        <v>-0.7071301330566404</v>
      </c>
      <c r="P59" s="112">
        <f>Fcast_TO!P81</f>
        <v>-0.7248083863830563</v>
      </c>
      <c r="Q59" s="112">
        <f>Fcast_TO!Q81</f>
        <v>-0.7429285960426327</v>
      </c>
    </row>
    <row r="60" spans="4:17" ht="10.5">
      <c r="D60" s="130" t="str">
        <f>Fcast_TO!D82</f>
        <v>Closing Balance</v>
      </c>
      <c r="J60" s="116">
        <f>Fcast_TO!J82</f>
        <v>13.375</v>
      </c>
      <c r="K60" s="116">
        <f>Fcast_TO!K82</f>
        <v>15.296875</v>
      </c>
      <c r="L60" s="116">
        <f>Fcast_TO!L82</f>
        <v>17.266796874999997</v>
      </c>
      <c r="M60" s="116">
        <f>Fcast_TO!M82</f>
        <v>19.285966796874998</v>
      </c>
      <c r="N60" s="116">
        <f>Fcast_TO!N82</f>
        <v>21.355615966796872</v>
      </c>
      <c r="O60" s="116">
        <f>Fcast_TO!O82</f>
        <v>23.477006365966794</v>
      </c>
      <c r="P60" s="116">
        <f>Fcast_TO!P82</f>
        <v>25.651431525115964</v>
      </c>
      <c r="Q60" s="116">
        <f>Fcast_TO!Q82</f>
        <v>27.880217313243865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14" tooltip="Go to Top of Sheet" display="$B$14"/>
    <hyperlink ref="B4" location="HL_Sheet_Main_8" tooltip="Go to Previous Sheet" display="HL_Sheet_Main_8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rowBreaks count="1" manualBreakCount="1">
    <brk id="43" min="1" max="16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166</v>
      </c>
    </row>
    <row r="10" ht="16.5">
      <c r="C10" s="21" t="s">
        <v>167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32</v>
      </c>
    </row>
    <row r="18" ht="10.5">
      <c r="C18" s="24" t="s">
        <v>168</v>
      </c>
    </row>
    <row r="19" ht="10.5">
      <c r="C19" s="24"/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1" tooltip="Go to Previous Sheet" display="HL_Sheet_Main_21"/>
    <hyperlink ref="D13" location="HL_Sheet_Main_14" tooltip="Go to Next Sheet" display="HL_Sheet_Main_1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8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/>
  <cols>
    <col min="1" max="5" width="3.83203125" style="2" customWidth="1"/>
    <col min="6" max="16384" width="11.83203125" style="2" customWidth="1"/>
  </cols>
  <sheetData>
    <row r="1" ht="18">
      <c r="B1" s="1" t="s">
        <v>166</v>
      </c>
    </row>
    <row r="2" ht="15">
      <c r="B2" s="8" t="str">
        <f>Model_Name</f>
        <v>SMA 13. Multiple Workbooks - Best Practice Model Example 2</v>
      </c>
    </row>
    <row r="3" spans="2:6" ht="10.5">
      <c r="B3" s="151" t="s">
        <v>1</v>
      </c>
      <c r="C3" s="151"/>
      <c r="D3" s="151"/>
      <c r="E3" s="151"/>
      <c r="F3" s="151"/>
    </row>
    <row r="4" spans="1:6" ht="12.75">
      <c r="A4" s="94" t="s">
        <v>10</v>
      </c>
      <c r="B4" s="22" t="s">
        <v>24</v>
      </c>
      <c r="C4" s="23" t="s">
        <v>25</v>
      </c>
      <c r="D4" s="95" t="s">
        <v>36</v>
      </c>
      <c r="E4" s="95" t="s">
        <v>37</v>
      </c>
      <c r="F4" s="96" t="s">
        <v>38</v>
      </c>
    </row>
    <row r="5" ht="10.5"/>
    <row r="7" ht="12.75">
      <c r="B7" s="131" t="s">
        <v>169</v>
      </c>
    </row>
    <row r="9" ht="17.25" customHeight="1">
      <c r="C9" s="132" t="b">
        <v>1</v>
      </c>
    </row>
    <row r="10" ht="10.5"/>
    <row r="11" ht="11.25">
      <c r="C11" s="19" t="s">
        <v>170</v>
      </c>
    </row>
    <row r="13" spans="4:9" ht="10.5">
      <c r="D13" s="133" t="str">
        <f>D26</f>
        <v>Total Errors:</v>
      </c>
      <c r="I13" s="134">
        <f>Err_Chks_Ttl_Areas</f>
        <v>0</v>
      </c>
    </row>
    <row r="14" spans="4:9" ht="10.5">
      <c r="D14" s="135" t="s">
        <v>171</v>
      </c>
      <c r="I14" s="136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9" t="s">
        <v>169</v>
      </c>
    </row>
    <row r="18" spans="4:13" ht="10.5">
      <c r="D18" s="137" t="s">
        <v>169</v>
      </c>
      <c r="E18" s="12"/>
      <c r="F18" s="12"/>
      <c r="G18" s="12"/>
      <c r="H18" s="12"/>
      <c r="I18" s="12"/>
      <c r="J18" s="12"/>
      <c r="K18" s="138" t="s">
        <v>172</v>
      </c>
      <c r="L18" s="138" t="s">
        <v>173</v>
      </c>
      <c r="M18" s="138" t="s">
        <v>174</v>
      </c>
    </row>
    <row r="19" spans="4:13" ht="10.5">
      <c r="D19" s="139"/>
      <c r="E19" s="14"/>
      <c r="F19" s="14"/>
      <c r="G19" s="14"/>
      <c r="H19" s="14"/>
      <c r="I19" s="14"/>
      <c r="J19" s="14"/>
      <c r="K19" s="140"/>
      <c r="L19" s="140"/>
      <c r="M19" s="140"/>
    </row>
    <row r="20" spans="4:13" ht="10.5">
      <c r="D20" s="9" t="str">
        <f>IF(ISERROR(Err_Chk_1_Hdg),"Miscellaneous Check",Err_Chk_1_Hdg)</f>
        <v>Working Capital - Assumptions</v>
      </c>
      <c r="E20" s="141"/>
      <c r="F20" s="141"/>
      <c r="G20" s="141"/>
      <c r="H20" s="141"/>
      <c r="I20" s="141"/>
      <c r="J20" s="141"/>
      <c r="K20" s="142">
        <f>IF(ISERROR(HL_Err_Chk_1),1,(HL_Err_Chk_1&lt;&gt;0)*1)</f>
        <v>0</v>
      </c>
      <c r="L20" s="143" t="s">
        <v>175</v>
      </c>
      <c r="M20" s="144">
        <f>K20*(L20="Yes")</f>
        <v>0</v>
      </c>
    </row>
    <row r="21" spans="4:13" ht="10.5">
      <c r="D21" s="9" t="str">
        <f>IF(ISERROR(Err_Chk_2_Hdg),"Miscellaneous Check",Err_Chk_2_Hdg)</f>
        <v>Accounts Receivable Balances ($Millions)</v>
      </c>
      <c r="E21" s="141"/>
      <c r="F21" s="141"/>
      <c r="G21" s="141"/>
      <c r="H21" s="141"/>
      <c r="I21" s="141"/>
      <c r="J21" s="141"/>
      <c r="K21" s="142">
        <f>IF(ISERROR(HL_Err_Chk_2),1,(HL_Err_Chk_2&lt;&gt;0)*1)</f>
        <v>0</v>
      </c>
      <c r="L21" s="143" t="s">
        <v>175</v>
      </c>
      <c r="M21" s="144">
        <f>K21*(L21="Yes")</f>
        <v>0</v>
      </c>
    </row>
    <row r="22" spans="4:13" ht="10.5">
      <c r="D22" s="9" t="str">
        <f>IF(ISERROR(Err_Chk_3_Hdg),"Miscellaneous Check",Err_Chk_3_Hdg)</f>
        <v>Accounts Payable Balances ($Millions)</v>
      </c>
      <c r="E22" s="141"/>
      <c r="F22" s="141"/>
      <c r="G22" s="141"/>
      <c r="H22" s="141"/>
      <c r="I22" s="141"/>
      <c r="J22" s="141"/>
      <c r="K22" s="142">
        <f>IF(ISERROR(HL_Err_Chk_3),1,(HL_Err_Chk_3&lt;&gt;0)*1)</f>
        <v>0</v>
      </c>
      <c r="L22" s="143" t="s">
        <v>175</v>
      </c>
      <c r="M22" s="144">
        <f>K22*(L22="Yes")</f>
        <v>0</v>
      </c>
    </row>
    <row r="23" spans="4:13" ht="10.5">
      <c r="D23" s="9" t="str">
        <f>IF(ISERROR(Err_Chk_4_Hdg),"Miscellaneous Check",Err_Chk_4_Hdg)</f>
        <v>Assets Balances ($Millions)</v>
      </c>
      <c r="E23" s="141"/>
      <c r="F23" s="141"/>
      <c r="G23" s="141"/>
      <c r="H23" s="141"/>
      <c r="I23" s="141"/>
      <c r="J23" s="141"/>
      <c r="K23" s="142">
        <f>IF(ISERROR(HL_Err_Chk_4),1,(HL_Err_Chk_4&lt;&gt;0)*1)</f>
        <v>0</v>
      </c>
      <c r="L23" s="143" t="s">
        <v>175</v>
      </c>
      <c r="M23" s="144">
        <f>K23*(L23="Yes")</f>
        <v>0</v>
      </c>
    </row>
    <row r="24" spans="4:13" ht="10.5">
      <c r="D24" s="9" t="str">
        <f>IF(ISERROR(Err_Chk_5_Hdg),"Miscellaneous Check",Err_Chk_5_Hdg)</f>
        <v>Intangibles Balances ($Millions)</v>
      </c>
      <c r="E24" s="141"/>
      <c r="F24" s="141"/>
      <c r="G24" s="141"/>
      <c r="H24" s="141"/>
      <c r="I24" s="141"/>
      <c r="J24" s="141"/>
      <c r="K24" s="142">
        <f>IF(ISERROR(HL_Err_Chk_5),1,(HL_Err_Chk_5&lt;&gt;0)*1)</f>
        <v>0</v>
      </c>
      <c r="L24" s="143" t="s">
        <v>175</v>
      </c>
      <c r="M24" s="144">
        <f>K24*(L24="Yes")</f>
        <v>0</v>
      </c>
    </row>
    <row r="26" spans="4:13" ht="10.5">
      <c r="D26" s="4" t="s">
        <v>176</v>
      </c>
      <c r="M26" s="145">
        <f>SUMIF(CA_Err_Chks_Inc,"Yes",CA_Err_Chks_Flags)</f>
        <v>0</v>
      </c>
    </row>
    <row r="29" ht="12.75">
      <c r="B29" s="131" t="s">
        <v>177</v>
      </c>
    </row>
    <row r="31" ht="17.25" customHeight="1">
      <c r="C31" s="132" t="b">
        <v>1</v>
      </c>
    </row>
    <row r="32" ht="10.5"/>
    <row r="33" ht="11.25">
      <c r="C33" s="19" t="s">
        <v>178</v>
      </c>
    </row>
    <row r="35" spans="4:9" ht="10.5">
      <c r="D35" s="133" t="str">
        <f>D42</f>
        <v>Total Sensitivities:</v>
      </c>
      <c r="I35" s="134">
        <f>Sens_Chks_Ttl_Areas</f>
        <v>0</v>
      </c>
    </row>
    <row r="36" spans="4:9" ht="10.5">
      <c r="D36" s="135" t="s">
        <v>179</v>
      </c>
      <c r="I36" s="136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38" ht="11.25">
      <c r="C38" s="19" t="s">
        <v>177</v>
      </c>
    </row>
    <row r="40" spans="4:13" ht="10.5">
      <c r="D40" s="137" t="s">
        <v>177</v>
      </c>
      <c r="E40" s="12"/>
      <c r="F40" s="12"/>
      <c r="G40" s="12"/>
      <c r="H40" s="12"/>
      <c r="I40" s="12"/>
      <c r="J40" s="12"/>
      <c r="K40" s="138" t="s">
        <v>172</v>
      </c>
      <c r="L40" s="138" t="s">
        <v>173</v>
      </c>
      <c r="M40" s="138" t="s">
        <v>174</v>
      </c>
    </row>
    <row r="42" spans="4:13" ht="10.5">
      <c r="D42" s="4" t="s">
        <v>180</v>
      </c>
      <c r="M42" s="145">
        <f>SUMIF(CA_Sens_Chks_Inc,"Yes",CA_Sens_Chks_Flags)</f>
        <v>0</v>
      </c>
    </row>
    <row r="45" ht="12.75">
      <c r="B45" s="131" t="s">
        <v>181</v>
      </c>
    </row>
    <row r="47" ht="17.25" customHeight="1">
      <c r="C47" s="132" t="b">
        <v>1</v>
      </c>
    </row>
    <row r="48" ht="10.5"/>
    <row r="49" ht="11.25">
      <c r="C49" s="19" t="s">
        <v>182</v>
      </c>
    </row>
    <row r="51" spans="4:9" ht="10.5">
      <c r="D51" s="133" t="str">
        <f>D58</f>
        <v>Total Alerts:</v>
      </c>
      <c r="I51" s="134">
        <f>Alt_Chks_Ttl_Areas</f>
        <v>0</v>
      </c>
    </row>
    <row r="52" spans="4:9" ht="10.5">
      <c r="D52" s="135" t="s">
        <v>183</v>
      </c>
      <c r="I52" s="136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4" ht="11.25">
      <c r="C54" s="19" t="s">
        <v>181</v>
      </c>
    </row>
    <row r="56" spans="4:13" ht="10.5">
      <c r="D56" s="137" t="s">
        <v>181</v>
      </c>
      <c r="E56" s="12"/>
      <c r="F56" s="12"/>
      <c r="G56" s="12"/>
      <c r="H56" s="12"/>
      <c r="I56" s="12"/>
      <c r="J56" s="12"/>
      <c r="K56" s="138" t="s">
        <v>172</v>
      </c>
      <c r="L56" s="138" t="s">
        <v>173</v>
      </c>
      <c r="M56" s="138" t="s">
        <v>174</v>
      </c>
    </row>
    <row r="58" spans="4:13" ht="10.5">
      <c r="D58" s="4" t="s">
        <v>184</v>
      </c>
      <c r="M58" s="145">
        <f>SUMIF(CA_Alt_Chks_Inc,"Yes",CA_Alt_Chks_Flags)</f>
        <v>0</v>
      </c>
    </row>
  </sheetData>
  <sheetProtection/>
  <mergeCells count="1">
    <mergeCell ref="B3:F3"/>
  </mergeCells>
  <conditionalFormatting sqref="M42 I51 M26 I35 I13">
    <cfRule type="cellIs" priority="22" dxfId="20" operator="notEqual" stopIfTrue="1">
      <formula>0</formula>
    </cfRule>
  </conditionalFormatting>
  <conditionalFormatting sqref="M58">
    <cfRule type="cellIs" priority="21" dxfId="20" operator="notEqual" stopIfTrue="1">
      <formula>0</formula>
    </cfRule>
  </conditionalFormatting>
  <conditionalFormatting sqref="D20">
    <cfRule type="expression" priority="20" dxfId="0" stopIfTrue="1">
      <formula>K20&lt;&gt;0</formula>
    </cfRule>
  </conditionalFormatting>
  <conditionalFormatting sqref="K20">
    <cfRule type="cellIs" priority="19" dxfId="0" operator="notEqual" stopIfTrue="1">
      <formula>0</formula>
    </cfRule>
  </conditionalFormatting>
  <conditionalFormatting sqref="L20">
    <cfRule type="expression" priority="18" dxfId="0" stopIfTrue="1">
      <formula>K20&lt;&gt;0</formula>
    </cfRule>
  </conditionalFormatting>
  <conditionalFormatting sqref="M20">
    <cfRule type="expression" priority="17" dxfId="0" stopIfTrue="1">
      <formula>K20&lt;&gt;0</formula>
    </cfRule>
  </conditionalFormatting>
  <conditionalFormatting sqref="D21">
    <cfRule type="expression" priority="16" dxfId="0" stopIfTrue="1">
      <formula>K21&lt;&gt;0</formula>
    </cfRule>
  </conditionalFormatting>
  <conditionalFormatting sqref="K21">
    <cfRule type="cellIs" priority="15" dxfId="0" operator="notEqual" stopIfTrue="1">
      <formula>0</formula>
    </cfRule>
  </conditionalFormatting>
  <conditionalFormatting sqref="L21">
    <cfRule type="expression" priority="14" dxfId="0" stopIfTrue="1">
      <formula>K21&lt;&gt;0</formula>
    </cfRule>
  </conditionalFormatting>
  <conditionalFormatting sqref="M21">
    <cfRule type="expression" priority="13" dxfId="0" stopIfTrue="1">
      <formula>K21&lt;&gt;0</formula>
    </cfRule>
  </conditionalFormatting>
  <conditionalFormatting sqref="D22">
    <cfRule type="expression" priority="12" dxfId="0" stopIfTrue="1">
      <formula>K22&lt;&gt;0</formula>
    </cfRule>
  </conditionalFormatting>
  <conditionalFormatting sqref="K22">
    <cfRule type="cellIs" priority="11" dxfId="0" operator="notEqual" stopIfTrue="1">
      <formula>0</formula>
    </cfRule>
  </conditionalFormatting>
  <conditionalFormatting sqref="L22">
    <cfRule type="expression" priority="10" dxfId="0" stopIfTrue="1">
      <formula>K22&lt;&gt;0</formula>
    </cfRule>
  </conditionalFormatting>
  <conditionalFormatting sqref="M22">
    <cfRule type="expression" priority="9" dxfId="0" stopIfTrue="1">
      <formula>K22&lt;&gt;0</formula>
    </cfRule>
  </conditionalFormatting>
  <conditionalFormatting sqref="D23">
    <cfRule type="expression" priority="8" dxfId="0" stopIfTrue="1">
      <formula>K23&lt;&gt;0</formula>
    </cfRule>
  </conditionalFormatting>
  <conditionalFormatting sqref="K23">
    <cfRule type="cellIs" priority="7" dxfId="0" operator="notEqual" stopIfTrue="1">
      <formula>0</formula>
    </cfRule>
  </conditionalFormatting>
  <conditionalFormatting sqref="L23">
    <cfRule type="expression" priority="6" dxfId="0" stopIfTrue="1">
      <formula>K23&lt;&gt;0</formula>
    </cfRule>
  </conditionalFormatting>
  <conditionalFormatting sqref="M23">
    <cfRule type="expression" priority="5" dxfId="0" stopIfTrue="1">
      <formula>K23&lt;&gt;0</formula>
    </cfRule>
  </conditionalFormatting>
  <conditionalFormatting sqref="D24">
    <cfRule type="expression" priority="4" dxfId="0" stopIfTrue="1">
      <formula>K24&lt;&gt;0</formula>
    </cfRule>
  </conditionalFormatting>
  <conditionalFormatting sqref="K24">
    <cfRule type="cellIs" priority="3" dxfId="0" operator="notEqual" stopIfTrue="1">
      <formula>0</formula>
    </cfRule>
  </conditionalFormatting>
  <conditionalFormatting sqref="L24">
    <cfRule type="expression" priority="2" dxfId="0" stopIfTrue="1">
      <formula>K24&lt;&gt;0</formula>
    </cfRule>
  </conditionalFormatting>
  <conditionalFormatting sqref="M24">
    <cfRule type="expression" priority="1" dxfId="0" stopIfTrue="1">
      <formula>K24&lt;&gt;0</formula>
    </cfRule>
  </conditionalFormatting>
  <dataValidations count="2">
    <dataValidation type="custom" showErrorMessage="1" errorTitle="6 Cell Link" error="The value in an option button cell link must be either &quot;TRUE&quot; or &quot;FALSE&quot;" sqref="C47 C31 C9">
      <formula1>ISLOGICAL(C47)</formula1>
    </dataValidation>
    <dataValidation type="list" showErrorMessage="1" errorTitle="Include Error Check" error="The include error check trigger must correspond with one of the options provided in the drop down list." sqref="L20:L24">
      <formula1>"Yes,No"</formula1>
    </dataValidation>
  </dataValidations>
  <hyperlinks>
    <hyperlink ref="D20:J20" location="HL_Err_Chk_1" tooltip="Go to Working Capital - Assumptions" display="HL_Err_Chk_1"/>
    <hyperlink ref="D21:J21" location="HL_Err_Chk_2" tooltip="Go to Accounts Receivable Balances ($Millions)" display="HL_Err_Chk_2"/>
    <hyperlink ref="D22:J22" location="HL_Err_Chk_3" tooltip="Go to Accounts Payable Balances ($Millions)" display="HL_Err_Chk_3"/>
    <hyperlink ref="D23:J23" location="HL_Err_Chk_4" tooltip="Go to Assets Balances ($Millions)" display="HL_Err_Chk_4"/>
    <hyperlink ref="D24:J24" location="HL_Err_Chk_5" tooltip="Go to Intangibles Balances ($Millions)" display="HL_Err_Chk_5"/>
    <hyperlink ref="B3" location="HL_Home" tooltip="Go to Table of Contents" display="HL_Home"/>
    <hyperlink ref="A4" location="$B$5" tooltip="Go to Top of Sheet" display="$B$5"/>
    <hyperlink ref="B4" location="HL_Sheet_Main_13" tooltip="Go to Previous Sheet" display="HL_Sheet_Main_13"/>
    <hyperlink ref="C4" location="HL_Sheet_Main_40" tooltip="Go to Next Sheet" display="HL_Sheet_Main_40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scale="90" r:id="rId3"/>
  <headerFooter alignWithMargins="0">
    <oddFooter>&amp;L&amp;F
&amp;A
Printed: &amp;T on &amp;D&amp;CPage &amp;P of &amp;N&amp;R&amp;G</oddFooter>
  </headerFooter>
  <rowBreaks count="2" manualBreakCount="2">
    <brk id="28" min="1" max="12" man="1"/>
    <brk id="44" min="1" max="12" man="1"/>
  </rowBreaks>
  <legacy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185</v>
      </c>
    </row>
    <row r="10" ht="16.5">
      <c r="C10" s="21" t="s">
        <v>186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32</v>
      </c>
    </row>
    <row r="18" ht="10.5">
      <c r="C18" s="24" t="s">
        <v>187</v>
      </c>
    </row>
    <row r="19" ht="10.5">
      <c r="C19" s="24"/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4" tooltip="Go to Previous Sheet" display="HL_Sheet_Main_14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pane xSplit="1" ySplit="6" topLeftCell="B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11.83203125" defaultRowHeight="10.5" outlineLevelRow="1"/>
  <cols>
    <col min="1" max="2" width="3.83203125" style="2" customWidth="1"/>
    <col min="3" max="3" width="0" style="2" hidden="1" customWidth="1"/>
    <col min="4" max="4" width="5.16015625" style="2" customWidth="1"/>
    <col min="5" max="5" width="0" style="2" hidden="1" customWidth="1"/>
    <col min="6" max="6" width="2.83203125" style="2" customWidth="1"/>
    <col min="7" max="7" width="0" style="2" hidden="1" customWidth="1"/>
    <col min="8" max="8" width="1.83203125" style="2" customWidth="1"/>
    <col min="9" max="16" width="11.83203125" style="2" customWidth="1"/>
    <col min="17" max="17" width="9.16015625" style="2" customWidth="1"/>
    <col min="18" max="16384" width="11.83203125" style="2" customWidth="1"/>
  </cols>
  <sheetData>
    <row r="1" ht="18">
      <c r="B1" s="1" t="s">
        <v>8</v>
      </c>
    </row>
    <row r="2" ht="15">
      <c r="B2" s="8" t="str">
        <f>Model_Name</f>
        <v>SMA 13. Multiple Workbooks - Best Practice Model Example 2</v>
      </c>
    </row>
    <row r="3" spans="2:10" ht="10.5">
      <c r="B3" s="151" t="s">
        <v>9</v>
      </c>
      <c r="C3" s="151"/>
      <c r="D3" s="151"/>
      <c r="E3" s="151"/>
      <c r="F3" s="151"/>
      <c r="G3" s="151"/>
      <c r="H3" s="151"/>
      <c r="I3" s="151"/>
      <c r="J3" s="9"/>
    </row>
    <row r="4" ht="10.5"/>
    <row r="5" ht="10.5"/>
    <row r="6" spans="1:17" s="14" customFormat="1" ht="12.75">
      <c r="A6" s="10" t="s">
        <v>10</v>
      </c>
      <c r="B6" s="11" t="s">
        <v>11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 t="s">
        <v>12</v>
      </c>
    </row>
    <row r="7" ht="10.5"/>
    <row r="8" spans="2:17" ht="18.75" customHeight="1">
      <c r="B8" s="153">
        <v>1</v>
      </c>
      <c r="C8" s="153"/>
      <c r="D8" s="154" t="str">
        <f>Overview_SC!C9</f>
        <v>Overview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">
        <v>3</v>
      </c>
    </row>
    <row r="9" spans="4:17" ht="11.25">
      <c r="D9" s="156" t="s">
        <v>13</v>
      </c>
      <c r="E9" s="156"/>
      <c r="F9" s="157" t="str">
        <f>Notes_SSC!C9</f>
        <v>Notes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6">
        <v>4</v>
      </c>
    </row>
    <row r="10" spans="6:17" ht="10.5" outlineLevel="1">
      <c r="F10" s="155" t="s">
        <v>14</v>
      </c>
      <c r="G10" s="155"/>
      <c r="H10" s="152" t="str">
        <f>Linked_Workbooks_Diagram_MS!B1</f>
        <v>Linked Workbooks Diagram</v>
      </c>
      <c r="I10" s="152"/>
      <c r="J10" s="152"/>
      <c r="K10" s="152"/>
      <c r="L10" s="152"/>
      <c r="M10" s="152"/>
      <c r="N10" s="152"/>
      <c r="O10" s="152"/>
      <c r="P10" s="152"/>
      <c r="Q10" s="17">
        <v>5</v>
      </c>
    </row>
    <row r="11" spans="2:17" ht="18.75" customHeight="1">
      <c r="B11" s="153">
        <v>2</v>
      </c>
      <c r="C11" s="153"/>
      <c r="D11" s="154" t="str">
        <f>Assumptions_SC!C9</f>
        <v>Assumptions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">
        <v>6</v>
      </c>
    </row>
    <row r="12" spans="4:17" ht="11.25">
      <c r="D12" s="156" t="s">
        <v>15</v>
      </c>
      <c r="E12" s="156"/>
      <c r="F12" s="157" t="str">
        <f>TS_Ass_SSC!C9</f>
        <v>Time Series Assumptions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6">
        <v>7</v>
      </c>
    </row>
    <row r="13" spans="6:17" ht="10.5" outlineLevel="1">
      <c r="F13" s="155" t="s">
        <v>14</v>
      </c>
      <c r="G13" s="155"/>
      <c r="H13" s="152" t="str">
        <f>TS_BA!B1</f>
        <v>Time Series Assumptions</v>
      </c>
      <c r="I13" s="152"/>
      <c r="J13" s="152"/>
      <c r="K13" s="152"/>
      <c r="L13" s="152"/>
      <c r="M13" s="152"/>
      <c r="N13" s="152"/>
      <c r="O13" s="152"/>
      <c r="P13" s="152"/>
      <c r="Q13" s="17">
        <v>8</v>
      </c>
    </row>
    <row r="14" spans="4:17" ht="11.25">
      <c r="D14" s="156" t="s">
        <v>16</v>
      </c>
      <c r="E14" s="156"/>
      <c r="F14" s="157" t="str">
        <f>Fcast_Ass_SSC!C9</f>
        <v>Forecast Assumptions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6">
        <v>9</v>
      </c>
    </row>
    <row r="15" spans="6:17" ht="10.5" outlineLevel="1">
      <c r="F15" s="155" t="s">
        <v>14</v>
      </c>
      <c r="G15" s="155"/>
      <c r="H15" s="152" t="str">
        <f>Fcast_TA!B1</f>
        <v>Assumptions</v>
      </c>
      <c r="I15" s="152"/>
      <c r="J15" s="152"/>
      <c r="K15" s="152"/>
      <c r="L15" s="152"/>
      <c r="M15" s="152"/>
      <c r="N15" s="152"/>
      <c r="O15" s="152"/>
      <c r="P15" s="152"/>
      <c r="Q15" s="17">
        <v>10</v>
      </c>
    </row>
    <row r="16" spans="8:17" ht="10.5" outlineLevel="1">
      <c r="H16" s="18" t="s">
        <v>4</v>
      </c>
      <c r="I16" s="158" t="str">
        <f>TOC_Hdg_5</f>
        <v>Operational - Assumptions</v>
      </c>
      <c r="J16" s="158"/>
      <c r="K16" s="158"/>
      <c r="L16" s="158"/>
      <c r="M16" s="158"/>
      <c r="N16" s="158"/>
      <c r="O16" s="158"/>
      <c r="P16" s="158"/>
      <c r="Q16" s="18" t="s">
        <v>4</v>
      </c>
    </row>
    <row r="17" spans="8:17" ht="10.5" outlineLevel="1">
      <c r="H17" s="18" t="s">
        <v>4</v>
      </c>
      <c r="I17" s="158" t="str">
        <f>TOC_Hdg_9</f>
        <v>Working Capital - Assumptions</v>
      </c>
      <c r="J17" s="158"/>
      <c r="K17" s="158"/>
      <c r="L17" s="158"/>
      <c r="M17" s="158"/>
      <c r="N17" s="158"/>
      <c r="O17" s="158"/>
      <c r="P17" s="158"/>
      <c r="Q17" s="18" t="s">
        <v>4</v>
      </c>
    </row>
    <row r="18" spans="8:17" ht="10.5" outlineLevel="1">
      <c r="H18" s="18" t="s">
        <v>4</v>
      </c>
      <c r="I18" s="158" t="str">
        <f>TOC_Hdg_10</f>
        <v>Assets - Assumptions</v>
      </c>
      <c r="J18" s="158"/>
      <c r="K18" s="158"/>
      <c r="L18" s="158"/>
      <c r="M18" s="158"/>
      <c r="N18" s="158"/>
      <c r="O18" s="158"/>
      <c r="P18" s="158"/>
      <c r="Q18" s="18" t="s">
        <v>4</v>
      </c>
    </row>
    <row r="19" spans="2:17" ht="18.75" customHeight="1">
      <c r="B19" s="153">
        <v>3</v>
      </c>
      <c r="C19" s="153"/>
      <c r="D19" s="154" t="str">
        <f>Base_OP_SC!C9</f>
        <v>Outputs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">
        <v>11</v>
      </c>
    </row>
    <row r="20" spans="4:17" ht="11.25">
      <c r="D20" s="156" t="s">
        <v>17</v>
      </c>
      <c r="E20" s="156"/>
      <c r="F20" s="157" t="str">
        <f>Fcast_OP_SSC!C9</f>
        <v>Forecast Outputs</v>
      </c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6">
        <v>12</v>
      </c>
    </row>
    <row r="21" spans="6:17" ht="10.5" outlineLevel="1">
      <c r="F21" s="155" t="s">
        <v>14</v>
      </c>
      <c r="G21" s="155"/>
      <c r="H21" s="152" t="str">
        <f>Fcast_TO!B1</f>
        <v>Outputs</v>
      </c>
      <c r="I21" s="152"/>
      <c r="J21" s="152"/>
      <c r="K21" s="152"/>
      <c r="L21" s="152"/>
      <c r="M21" s="152"/>
      <c r="N21" s="152"/>
      <c r="O21" s="152"/>
      <c r="P21" s="152"/>
      <c r="Q21" s="17">
        <v>13</v>
      </c>
    </row>
    <row r="22" spans="8:17" ht="10.5" outlineLevel="1">
      <c r="H22" s="18" t="s">
        <v>4</v>
      </c>
      <c r="I22" s="158" t="str">
        <f>TOC_Hdg_21</f>
        <v>Operational - Outputs</v>
      </c>
      <c r="J22" s="158"/>
      <c r="K22" s="158"/>
      <c r="L22" s="158"/>
      <c r="M22" s="158"/>
      <c r="N22" s="158"/>
      <c r="O22" s="158"/>
      <c r="P22" s="158"/>
      <c r="Q22" s="18" t="s">
        <v>4</v>
      </c>
    </row>
    <row r="23" spans="8:17" ht="10.5" outlineLevel="1">
      <c r="H23" s="18" t="s">
        <v>4</v>
      </c>
      <c r="I23" s="158" t="str">
        <f>TOC_Hdg_24</f>
        <v>Working Capital - Outputs</v>
      </c>
      <c r="J23" s="158"/>
      <c r="K23" s="158"/>
      <c r="L23" s="158"/>
      <c r="M23" s="158"/>
      <c r="N23" s="158"/>
      <c r="O23" s="158"/>
      <c r="P23" s="158"/>
      <c r="Q23" s="18" t="s">
        <v>4</v>
      </c>
    </row>
    <row r="24" spans="8:17" ht="10.5" outlineLevel="1">
      <c r="H24" s="18" t="s">
        <v>4</v>
      </c>
      <c r="I24" s="158" t="str">
        <f>TOC_Hdg_17</f>
        <v>Assets - Outputs</v>
      </c>
      <c r="J24" s="158"/>
      <c r="K24" s="158"/>
      <c r="L24" s="158"/>
      <c r="M24" s="158"/>
      <c r="N24" s="158"/>
      <c r="O24" s="158"/>
      <c r="P24" s="158"/>
      <c r="Q24" s="18" t="s">
        <v>4</v>
      </c>
    </row>
    <row r="25" spans="2:17" ht="18.75" customHeight="1">
      <c r="B25" s="153">
        <v>4</v>
      </c>
      <c r="C25" s="153"/>
      <c r="D25" s="154" t="str">
        <f>Appendices_SC!C9</f>
        <v>Appendices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">
        <v>16</v>
      </c>
    </row>
    <row r="26" spans="4:17" ht="11.25">
      <c r="D26" s="156" t="s">
        <v>18</v>
      </c>
      <c r="E26" s="156"/>
      <c r="F26" s="157" t="str">
        <f>Model_Exports_SSC!C9</f>
        <v>Model Exports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6">
        <v>17</v>
      </c>
    </row>
    <row r="27" spans="6:17" ht="10.5" outlineLevel="1">
      <c r="F27" s="155" t="s">
        <v>14</v>
      </c>
      <c r="G27" s="155"/>
      <c r="H27" s="152" t="str">
        <f>Model_Exports_ME_TO!B1</f>
        <v>Model Exports (To BPM-SMA 13-Best Practice Model Example 1)</v>
      </c>
      <c r="I27" s="152"/>
      <c r="J27" s="152"/>
      <c r="K27" s="152"/>
      <c r="L27" s="152"/>
      <c r="M27" s="152"/>
      <c r="N27" s="152"/>
      <c r="O27" s="152"/>
      <c r="P27" s="152"/>
      <c r="Q27" s="17">
        <v>18</v>
      </c>
    </row>
    <row r="28" spans="4:17" ht="11.25">
      <c r="D28" s="156" t="s">
        <v>19</v>
      </c>
      <c r="E28" s="156"/>
      <c r="F28" s="157" t="str">
        <f>Checks_SSC!C9</f>
        <v>Checks</v>
      </c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6">
        <v>20</v>
      </c>
    </row>
    <row r="29" spans="6:17" ht="10.5" outlineLevel="1">
      <c r="F29" s="155" t="s">
        <v>14</v>
      </c>
      <c r="G29" s="155"/>
      <c r="H29" s="152" t="str">
        <f>Checks_BO!B1</f>
        <v>Checks</v>
      </c>
      <c r="I29" s="152"/>
      <c r="J29" s="152"/>
      <c r="K29" s="152"/>
      <c r="L29" s="152"/>
      <c r="M29" s="152"/>
      <c r="N29" s="152"/>
      <c r="O29" s="152"/>
      <c r="P29" s="152"/>
      <c r="Q29" s="17">
        <v>21</v>
      </c>
    </row>
    <row r="30" spans="8:17" ht="10.5" outlineLevel="1">
      <c r="H30" s="18" t="s">
        <v>4</v>
      </c>
      <c r="I30" s="158" t="str">
        <f>TOC_Hdg_6</f>
        <v>Error Checks</v>
      </c>
      <c r="J30" s="158"/>
      <c r="K30" s="158"/>
      <c r="L30" s="158"/>
      <c r="M30" s="158"/>
      <c r="N30" s="158"/>
      <c r="O30" s="158"/>
      <c r="P30" s="158"/>
      <c r="Q30" s="18" t="s">
        <v>4</v>
      </c>
    </row>
    <row r="31" spans="8:17" ht="10.5" outlineLevel="1">
      <c r="H31" s="18" t="s">
        <v>4</v>
      </c>
      <c r="I31" s="158" t="str">
        <f>TOC_Hdg_7</f>
        <v>Sensitivity Checks</v>
      </c>
      <c r="J31" s="158"/>
      <c r="K31" s="158"/>
      <c r="L31" s="158"/>
      <c r="M31" s="158"/>
      <c r="N31" s="158"/>
      <c r="O31" s="158"/>
      <c r="P31" s="158"/>
      <c r="Q31" s="18" t="s">
        <v>4</v>
      </c>
    </row>
    <row r="32" spans="8:17" ht="10.5" outlineLevel="1">
      <c r="H32" s="18" t="s">
        <v>4</v>
      </c>
      <c r="I32" s="158" t="str">
        <f>TOC_Hdg_8</f>
        <v>Alert Checks</v>
      </c>
      <c r="J32" s="158"/>
      <c r="K32" s="158"/>
      <c r="L32" s="158"/>
      <c r="M32" s="158"/>
      <c r="N32" s="158"/>
      <c r="O32" s="158"/>
      <c r="P32" s="158"/>
      <c r="Q32" s="18" t="s">
        <v>4</v>
      </c>
    </row>
    <row r="33" spans="4:17" ht="11.25">
      <c r="D33" s="156" t="s">
        <v>20</v>
      </c>
      <c r="E33" s="156"/>
      <c r="F33" s="157" t="str">
        <f>LU_SSC!C9</f>
        <v>Lookup Tables</v>
      </c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6">
        <v>24</v>
      </c>
    </row>
    <row r="34" spans="6:17" ht="10.5" outlineLevel="1">
      <c r="F34" s="155" t="s">
        <v>14</v>
      </c>
      <c r="G34" s="155"/>
      <c r="H34" s="152" t="str">
        <f>TS_LU!B1</f>
        <v>Time Series Lookup Tables</v>
      </c>
      <c r="I34" s="152"/>
      <c r="J34" s="152"/>
      <c r="K34" s="152"/>
      <c r="L34" s="152"/>
      <c r="M34" s="152"/>
      <c r="N34" s="152"/>
      <c r="O34" s="152"/>
      <c r="P34" s="152"/>
      <c r="Q34" s="17">
        <v>25</v>
      </c>
    </row>
    <row r="36" spans="2:17" ht="16.5" customHeight="1">
      <c r="B36" s="19" t="s">
        <v>21</v>
      </c>
      <c r="Q36" s="20">
        <v>27</v>
      </c>
    </row>
  </sheetData>
  <sheetProtection/>
  <mergeCells count="46">
    <mergeCell ref="I16:P16"/>
    <mergeCell ref="D9:E9"/>
    <mergeCell ref="F9:P9"/>
    <mergeCell ref="F10:G10"/>
    <mergeCell ref="H13:P13"/>
    <mergeCell ref="D14:E14"/>
    <mergeCell ref="F14:P14"/>
    <mergeCell ref="F15:G15"/>
    <mergeCell ref="H15:P15"/>
    <mergeCell ref="I24:P24"/>
    <mergeCell ref="B25:C25"/>
    <mergeCell ref="D25:P25"/>
    <mergeCell ref="B3:I3"/>
    <mergeCell ref="I17:P17"/>
    <mergeCell ref="B11:C11"/>
    <mergeCell ref="D11:P11"/>
    <mergeCell ref="D12:E12"/>
    <mergeCell ref="F12:P12"/>
    <mergeCell ref="F13:G13"/>
    <mergeCell ref="F21:G21"/>
    <mergeCell ref="H21:P21"/>
    <mergeCell ref="I22:P22"/>
    <mergeCell ref="I23:P23"/>
    <mergeCell ref="I18:P18"/>
    <mergeCell ref="B19:C19"/>
    <mergeCell ref="D19:P19"/>
    <mergeCell ref="D20:E20"/>
    <mergeCell ref="F20:P20"/>
    <mergeCell ref="D33:E33"/>
    <mergeCell ref="F33:P33"/>
    <mergeCell ref="D26:E26"/>
    <mergeCell ref="F26:P26"/>
    <mergeCell ref="H29:P29"/>
    <mergeCell ref="I30:P30"/>
    <mergeCell ref="I31:P31"/>
    <mergeCell ref="I32:P32"/>
    <mergeCell ref="H10:P10"/>
    <mergeCell ref="B8:C8"/>
    <mergeCell ref="D8:P8"/>
    <mergeCell ref="F34:G34"/>
    <mergeCell ref="H34:P34"/>
    <mergeCell ref="F27:G27"/>
    <mergeCell ref="H27:P27"/>
    <mergeCell ref="D28:E28"/>
    <mergeCell ref="F28:P28"/>
    <mergeCell ref="F29:G29"/>
  </mergeCells>
  <hyperlinks>
    <hyperlink ref="B8" location="HL_Sheet_Main_2" tooltip="Go to Overview" display="HL_Sheet_Main_2"/>
    <hyperlink ref="D8" location="HL_Sheet_Main_2" tooltip="Go to Overview" display="HL_Sheet_Main_2"/>
    <hyperlink ref="Q8" location="HL_Sheet_Main_2" tooltip="Go to Overview" display="HL_Sheet_Main_2"/>
    <hyperlink ref="D9" location="HL_Sheet_Main_3" tooltip="Go to Notes" display="HL_Sheet_Main_3"/>
    <hyperlink ref="F9" location="HL_Sheet_Main_3" tooltip="Go to Notes" display="HL_Sheet_Main_3"/>
    <hyperlink ref="Q9" location="HL_Sheet_Main_3" tooltip="Go to Notes" display="HL_Sheet_Main_3"/>
    <hyperlink ref="F10" location="HL_Sheet_Main" tooltip="Go to Linked Workbooks Diagram" display="HL_Sheet_Main"/>
    <hyperlink ref="H10" location="HL_Sheet_Main" tooltip="Go to Linked Workbooks Diagram" display="HL_Sheet_Main"/>
    <hyperlink ref="Q10" location="HL_Sheet_Main" tooltip="Go to Linked Workbooks Diagram" display="HL_Sheet_Main"/>
    <hyperlink ref="B11" location="HL_Sheet_Main_11" tooltip="Go to Assumptions" display="HL_Sheet_Main_11"/>
    <hyperlink ref="D11" location="HL_Sheet_Main_11" tooltip="Go to Assumptions" display="HL_Sheet_Main_11"/>
    <hyperlink ref="Q11" location="HL_Sheet_Main_11" tooltip="Go to Assumptions" display="HL_Sheet_Main_11"/>
    <hyperlink ref="D12" location="HL_Sheet_Main_4" tooltip="Go to Time Series Assumptions" display="HL_Sheet_Main_4"/>
    <hyperlink ref="F12" location="HL_Sheet_Main_4" tooltip="Go to Time Series Assumptions" display="HL_Sheet_Main_4"/>
    <hyperlink ref="Q12" location="HL_Sheet_Main_4" tooltip="Go to Time Series Assumptions" display="HL_Sheet_Main_4"/>
    <hyperlink ref="F13" location="HL_Sheet_Main_10" tooltip="Go to Time Series Assumptions" display="HL_Sheet_Main_10"/>
    <hyperlink ref="H13" location="HL_Sheet_Main_10" tooltip="Go to Time Series Assumptions" display="HL_Sheet_Main_10"/>
    <hyperlink ref="Q13" location="HL_Sheet_Main_10" tooltip="Go to Time Series Assumptions" display="HL_Sheet_Main_10"/>
    <hyperlink ref="D14" location="HL_Sheet_Main_5" tooltip="Go to Forecast Assumptions" display="HL_Sheet_Main_5"/>
    <hyperlink ref="F14" location="HL_Sheet_Main_5" tooltip="Go to Forecast Assumptions" display="HL_Sheet_Main_5"/>
    <hyperlink ref="Q14" location="HL_Sheet_Main_5" tooltip="Go to Forecast Assumptions" display="HL_Sheet_Main_5"/>
    <hyperlink ref="F15" location="HL_Sheet_Main_12" tooltip="Go to Assumptions" display="HL_Sheet_Main_12"/>
    <hyperlink ref="H15" location="HL_Sheet_Main_12" tooltip="Go to Assumptions" display="HL_Sheet_Main_12"/>
    <hyperlink ref="Q15" location="HL_Sheet_Main_12" tooltip="Go to Assumptions" display="HL_Sheet_Main_12"/>
    <hyperlink ref="H16" location="HL_TOC_5" tooltip="Go to Operational - Assumptions" display="HL_TOC_5"/>
    <hyperlink ref="I16" location="HL_TOC_5" tooltip="Go to Operational - Assumptions" display="HL_TOC_5"/>
    <hyperlink ref="Q16" location="HL_TOC_5" tooltip="Go to Operational - Assumptions" display="HL_TOC_5"/>
    <hyperlink ref="H17" location="HL_TOC_9" tooltip="Go to Working Capital - Assumptions" display="HL_TOC_9"/>
    <hyperlink ref="I17" location="HL_TOC_9" tooltip="Go to Working Capital - Assumptions" display="HL_TOC_9"/>
    <hyperlink ref="Q17" location="HL_TOC_9" tooltip="Go to Working Capital - Assumptions" display="HL_TOC_9"/>
    <hyperlink ref="H18" location="HL_TOC_10" tooltip="Go to Assets - Assumptions" display="HL_TOC_10"/>
    <hyperlink ref="I18" location="HL_TOC_10" tooltip="Go to Assets - Assumptions" display="HL_TOC_10"/>
    <hyperlink ref="Q18" location="HL_TOC_10" tooltip="Go to Assets - Assumptions" display="HL_TOC_10"/>
    <hyperlink ref="B19" location="HL_Sheet_Main_16" tooltip="Go to Outputs" display="HL_Sheet_Main_16"/>
    <hyperlink ref="D19" location="HL_Sheet_Main_16" tooltip="Go to Outputs" display="HL_Sheet_Main_16"/>
    <hyperlink ref="Q19" location="HL_Sheet_Main_16" tooltip="Go to Outputs" display="HL_Sheet_Main_16"/>
    <hyperlink ref="D20" location="HL_Sheet_Main_15" tooltip="Go to Forecast Outputs" display="HL_Sheet_Main_15"/>
    <hyperlink ref="F20" location="HL_Sheet_Main_15" tooltip="Go to Forecast Outputs" display="HL_Sheet_Main_15"/>
    <hyperlink ref="Q20" location="HL_Sheet_Main_15" tooltip="Go to Forecast Outputs" display="HL_Sheet_Main_15"/>
    <hyperlink ref="F21" location="HL_Sheet_Main_17" tooltip="Go to Outputs" display="HL_Sheet_Main_17"/>
    <hyperlink ref="H21" location="HL_Sheet_Main_17" tooltip="Go to Outputs" display="HL_Sheet_Main_17"/>
    <hyperlink ref="Q21" location="HL_Sheet_Main_17" tooltip="Go to Outputs" display="HL_Sheet_Main_17"/>
    <hyperlink ref="H22" location="HL_TOC_21" tooltip="Go to Operational - Outputs" display="HL_TOC_21"/>
    <hyperlink ref="I22" location="HL_TOC_21" tooltip="Go to Operational - Outputs" display="HL_TOC_21"/>
    <hyperlink ref="Q22" location="HL_TOC_21" tooltip="Go to Operational - Outputs" display="HL_TOC_21"/>
    <hyperlink ref="H23" location="HL_TOC_24" tooltip="Go to Working Capital - Outputs" display="HL_TOC_24"/>
    <hyperlink ref="I23" location="HL_TOC_24" tooltip="Go to Working Capital - Outputs" display="HL_TOC_24"/>
    <hyperlink ref="Q23" location="HL_TOC_24" tooltip="Go to Working Capital - Outputs" display="HL_TOC_24"/>
    <hyperlink ref="H24" location="HL_TOC_17" tooltip="Go to Assets - Outputs" display="HL_TOC_17"/>
    <hyperlink ref="I24" location="HL_TOC_17" tooltip="Go to Assets - Outputs" display="HL_TOC_17"/>
    <hyperlink ref="Q24" location="HL_TOC_17" tooltip="Go to Assets - Outputs" display="HL_TOC_17"/>
    <hyperlink ref="B25" location="HL_Sheet_Main_39" tooltip="Go to Appendices" display="HL_Sheet_Main_39"/>
    <hyperlink ref="D25" location="HL_Sheet_Main_39" tooltip="Go to Appendices" display="HL_Sheet_Main_39"/>
    <hyperlink ref="Q25" location="HL_Sheet_Main_39" tooltip="Go to Appendices" display="HL_Sheet_Main_39"/>
    <hyperlink ref="D26" location="HL_Sheet_Main_8" tooltip="Go to Model Exports" display="HL_Sheet_Main_8"/>
    <hyperlink ref="F26" location="HL_Sheet_Main_8" tooltip="Go to Model Exports" display="HL_Sheet_Main_8"/>
    <hyperlink ref="Q26" location="HL_Sheet_Main_8" tooltip="Go to Model Exports" display="HL_Sheet_Main_8"/>
    <hyperlink ref="F27" location="HL_Sheet_Main_21" tooltip="Go to Model Exports (To BPM-SMA 13-Best Practice Model Example 1)" display="HL_Sheet_Main_21"/>
    <hyperlink ref="H27" location="HL_Sheet_Main_21" tooltip="Go to Model Exports (To BPM-SMA 13-Best Practice Model Example 1)" display="HL_Sheet_Main_21"/>
    <hyperlink ref="Q27" location="HL_Sheet_Main_21" tooltip="Go to Model Exports (To BPM-SMA 13-Best Practice Model Example 1)" display="HL_Sheet_Main_21"/>
    <hyperlink ref="D28" location="HL_Sheet_Main_13" tooltip="Go to Checks" display="HL_Sheet_Main_13"/>
    <hyperlink ref="F28" location="HL_Sheet_Main_13" tooltip="Go to Checks" display="HL_Sheet_Main_13"/>
    <hyperlink ref="Q28" location="HL_Sheet_Main_13" tooltip="Go to Checks" display="HL_Sheet_Main_13"/>
    <hyperlink ref="F29" location="HL_Sheet_Main_14" tooltip="Go to Checks" display="HL_Sheet_Main_14"/>
    <hyperlink ref="H29" location="HL_Sheet_Main_14" tooltip="Go to Checks" display="HL_Sheet_Main_14"/>
    <hyperlink ref="Q29" location="HL_Sheet_Main_14" tooltip="Go to Checks" display="HL_Sheet_Main_14"/>
    <hyperlink ref="H30" location="HL_TOC_6" tooltip="Go to Error Checks" display="HL_TOC_6"/>
    <hyperlink ref="I30" location="HL_TOC_6" tooltip="Go to Error Checks" display="HL_TOC_6"/>
    <hyperlink ref="Q30" location="HL_TOC_6" tooltip="Go to Error Checks" display="HL_TOC_6"/>
    <hyperlink ref="H31" location="HL_TOC_7" tooltip="Go to Sensitivity Checks" display="HL_TOC_7"/>
    <hyperlink ref="I31" location="HL_TOC_7" tooltip="Go to Sensitivity Checks" display="HL_TOC_7"/>
    <hyperlink ref="Q31" location="HL_TOC_7" tooltip="Go to Sensitivity Checks" display="HL_TOC_7"/>
    <hyperlink ref="H32" location="HL_TOC_8" tooltip="Go to Alert Checks" display="HL_TOC_8"/>
    <hyperlink ref="I32" location="HL_TOC_8" tooltip="Go to Alert Checks" display="HL_TOC_8"/>
    <hyperlink ref="Q32" location="HL_TOC_8" tooltip="Go to Alert Checks" display="HL_TOC_8"/>
    <hyperlink ref="D33" location="HL_Sheet_Main_40" tooltip="Go to Lookup Tables" display="HL_Sheet_Main_40"/>
    <hyperlink ref="F33" location="HL_Sheet_Main_40" tooltip="Go to Lookup Tables" display="HL_Sheet_Main_40"/>
    <hyperlink ref="Q33" location="HL_Sheet_Main_40" tooltip="Go to Lookup Tables" display="HL_Sheet_Main_40"/>
    <hyperlink ref="F34" location="HL_Sheet_Main_9" tooltip="Go to Time Series Lookup Tables" display="HL_Sheet_Main_9"/>
    <hyperlink ref="H34" location="HL_Sheet_Main_9" tooltip="Go to Time Series Lookup Tables" display="HL_Sheet_Main_9"/>
    <hyperlink ref="Q34" location="HL_Sheet_Main_9" tooltip="Go to Time Series Lookup Tables" display="HL_Sheet_Main_9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/>
  <cols>
    <col min="1" max="3" width="3.83203125" style="2" customWidth="1"/>
    <col min="4" max="4" width="35.83203125" style="2" customWidth="1"/>
    <col min="5" max="5" width="3.83203125" style="2" customWidth="1"/>
    <col min="6" max="6" width="35.83203125" style="2" customWidth="1"/>
    <col min="7" max="7" width="3.83203125" style="2" customWidth="1"/>
    <col min="8" max="16384" width="11.83203125" style="2" customWidth="1"/>
  </cols>
  <sheetData>
    <row r="1" ht="18">
      <c r="B1" s="1" t="s">
        <v>188</v>
      </c>
    </row>
    <row r="2" ht="15">
      <c r="B2" s="8" t="str">
        <f>Model_Name</f>
        <v>SMA 13. Multiple Workbooks - Best Practice Model Example 2</v>
      </c>
    </row>
    <row r="3" spans="2:4" ht="10.5">
      <c r="B3" s="151" t="s">
        <v>1</v>
      </c>
      <c r="C3" s="151"/>
      <c r="D3" s="151"/>
    </row>
    <row r="4" spans="1:3" ht="12.75">
      <c r="A4" s="94" t="s">
        <v>10</v>
      </c>
      <c r="B4" s="22" t="s">
        <v>24</v>
      </c>
      <c r="C4" s="23"/>
    </row>
    <row r="5" ht="10.5"/>
    <row r="7" ht="12.75">
      <c r="B7" s="131" t="s">
        <v>188</v>
      </c>
    </row>
    <row r="9" spans="3:6" ht="11.25">
      <c r="C9" s="19" t="s">
        <v>189</v>
      </c>
      <c r="F9" s="19" t="s">
        <v>190</v>
      </c>
    </row>
    <row r="11" spans="4:6" ht="10.5">
      <c r="D11" s="146" t="s">
        <v>189</v>
      </c>
      <c r="F11" s="24" t="s">
        <v>191</v>
      </c>
    </row>
    <row r="12" ht="10.5">
      <c r="D12" s="147">
        <v>1</v>
      </c>
    </row>
    <row r="13" ht="10.5">
      <c r="D13" s="148">
        <f aca="true" t="shared" si="0" ref="D13:D42">D12+1</f>
        <v>2</v>
      </c>
    </row>
    <row r="14" ht="10.5">
      <c r="D14" s="148">
        <f t="shared" si="0"/>
        <v>3</v>
      </c>
    </row>
    <row r="15" ht="10.5">
      <c r="D15" s="148">
        <f t="shared" si="0"/>
        <v>4</v>
      </c>
    </row>
    <row r="16" ht="10.5">
      <c r="D16" s="148">
        <f t="shared" si="0"/>
        <v>5</v>
      </c>
    </row>
    <row r="17" ht="10.5">
      <c r="D17" s="148">
        <f t="shared" si="0"/>
        <v>6</v>
      </c>
    </row>
    <row r="18" ht="10.5">
      <c r="D18" s="148">
        <f t="shared" si="0"/>
        <v>7</v>
      </c>
    </row>
    <row r="19" ht="10.5">
      <c r="D19" s="148">
        <f t="shared" si="0"/>
        <v>8</v>
      </c>
    </row>
    <row r="20" ht="10.5">
      <c r="D20" s="148">
        <f t="shared" si="0"/>
        <v>9</v>
      </c>
    </row>
    <row r="21" ht="10.5">
      <c r="D21" s="148">
        <f t="shared" si="0"/>
        <v>10</v>
      </c>
    </row>
    <row r="22" ht="10.5">
      <c r="D22" s="148">
        <f t="shared" si="0"/>
        <v>11</v>
      </c>
    </row>
    <row r="23" ht="10.5">
      <c r="D23" s="148">
        <f t="shared" si="0"/>
        <v>12</v>
      </c>
    </row>
    <row r="24" ht="10.5">
      <c r="D24" s="148">
        <f t="shared" si="0"/>
        <v>13</v>
      </c>
    </row>
    <row r="25" ht="10.5">
      <c r="D25" s="148">
        <f t="shared" si="0"/>
        <v>14</v>
      </c>
    </row>
    <row r="26" ht="10.5">
      <c r="D26" s="148">
        <f t="shared" si="0"/>
        <v>15</v>
      </c>
    </row>
    <row r="27" ht="10.5">
      <c r="D27" s="148">
        <f t="shared" si="0"/>
        <v>16</v>
      </c>
    </row>
    <row r="28" ht="10.5">
      <c r="D28" s="148">
        <f t="shared" si="0"/>
        <v>17</v>
      </c>
    </row>
    <row r="29" ht="10.5">
      <c r="D29" s="148">
        <f t="shared" si="0"/>
        <v>18</v>
      </c>
    </row>
    <row r="30" ht="10.5">
      <c r="D30" s="148">
        <f t="shared" si="0"/>
        <v>19</v>
      </c>
    </row>
    <row r="31" ht="10.5">
      <c r="D31" s="148">
        <f t="shared" si="0"/>
        <v>20</v>
      </c>
    </row>
    <row r="32" ht="10.5">
      <c r="D32" s="148">
        <f t="shared" si="0"/>
        <v>21</v>
      </c>
    </row>
    <row r="33" ht="10.5">
      <c r="D33" s="148">
        <f t="shared" si="0"/>
        <v>22</v>
      </c>
    </row>
    <row r="34" ht="10.5">
      <c r="D34" s="148">
        <f t="shared" si="0"/>
        <v>23</v>
      </c>
    </row>
    <row r="35" ht="10.5">
      <c r="D35" s="148">
        <f t="shared" si="0"/>
        <v>24</v>
      </c>
    </row>
    <row r="36" ht="10.5">
      <c r="D36" s="148">
        <f t="shared" si="0"/>
        <v>25</v>
      </c>
    </row>
    <row r="37" ht="10.5">
      <c r="D37" s="148">
        <f t="shared" si="0"/>
        <v>26</v>
      </c>
    </row>
    <row r="38" ht="10.5">
      <c r="D38" s="148">
        <f t="shared" si="0"/>
        <v>27</v>
      </c>
    </row>
    <row r="39" ht="10.5">
      <c r="D39" s="148">
        <f t="shared" si="0"/>
        <v>28</v>
      </c>
    </row>
    <row r="40" ht="10.5">
      <c r="D40" s="148">
        <f t="shared" si="0"/>
        <v>29</v>
      </c>
    </row>
    <row r="41" ht="10.5">
      <c r="D41" s="148">
        <f t="shared" si="0"/>
        <v>30</v>
      </c>
    </row>
    <row r="42" ht="10.5">
      <c r="D42" s="148">
        <f t="shared" si="0"/>
        <v>31</v>
      </c>
    </row>
    <row r="44" spans="3:6" ht="11.25">
      <c r="C44" s="19" t="s">
        <v>192</v>
      </c>
      <c r="F44" s="19" t="s">
        <v>190</v>
      </c>
    </row>
    <row r="46" spans="4:6" ht="10.5">
      <c r="D46" s="146" t="s">
        <v>192</v>
      </c>
      <c r="F46" s="24" t="s">
        <v>193</v>
      </c>
    </row>
    <row r="47" ht="10.5">
      <c r="D47" s="149" t="s">
        <v>194</v>
      </c>
    </row>
    <row r="48" ht="10.5">
      <c r="D48" s="149" t="s">
        <v>195</v>
      </c>
    </row>
    <row r="49" ht="10.5">
      <c r="D49" s="149" t="s">
        <v>196</v>
      </c>
    </row>
    <row r="50" ht="10.5">
      <c r="D50" s="149" t="s">
        <v>197</v>
      </c>
    </row>
    <row r="51" ht="10.5">
      <c r="D51" s="149" t="s">
        <v>198</v>
      </c>
    </row>
    <row r="52" ht="10.5">
      <c r="D52" s="149" t="s">
        <v>199</v>
      </c>
    </row>
    <row r="53" ht="10.5">
      <c r="D53" s="149" t="s">
        <v>200</v>
      </c>
    </row>
    <row r="54" ht="10.5">
      <c r="D54" s="149" t="s">
        <v>201</v>
      </c>
    </row>
    <row r="55" ht="10.5">
      <c r="D55" s="149" t="s">
        <v>202</v>
      </c>
    </row>
    <row r="56" ht="10.5">
      <c r="D56" s="149" t="s">
        <v>203</v>
      </c>
    </row>
    <row r="57" ht="10.5">
      <c r="D57" s="149" t="s">
        <v>204</v>
      </c>
    </row>
    <row r="58" ht="10.5">
      <c r="D58" s="149" t="s">
        <v>205</v>
      </c>
    </row>
    <row r="60" spans="3:6" ht="11.25">
      <c r="C60" s="19" t="s">
        <v>75</v>
      </c>
      <c r="F60" s="19" t="s">
        <v>190</v>
      </c>
    </row>
    <row r="62" spans="4:6" ht="10.5">
      <c r="D62" s="146" t="s">
        <v>75</v>
      </c>
      <c r="F62" s="24" t="s">
        <v>206</v>
      </c>
    </row>
    <row r="63" spans="4:6" ht="10.5">
      <c r="D63" s="149" t="s">
        <v>207</v>
      </c>
      <c r="F63" s="24" t="s">
        <v>208</v>
      </c>
    </row>
    <row r="64" spans="4:6" ht="10.5">
      <c r="D64" s="149" t="s">
        <v>209</v>
      </c>
      <c r="F64" s="24" t="s">
        <v>210</v>
      </c>
    </row>
    <row r="65" spans="4:6" ht="10.5">
      <c r="D65" s="149" t="s">
        <v>211</v>
      </c>
      <c r="F65" s="24" t="s">
        <v>212</v>
      </c>
    </row>
    <row r="66" spans="4:6" ht="10.5">
      <c r="D66" s="149" t="s">
        <v>213</v>
      </c>
      <c r="F66" s="24" t="s">
        <v>214</v>
      </c>
    </row>
    <row r="68" spans="3:6" ht="11.25">
      <c r="C68" s="19" t="s">
        <v>88</v>
      </c>
      <c r="F68" s="19" t="s">
        <v>190</v>
      </c>
    </row>
    <row r="70" spans="4:6" ht="10.5">
      <c r="D70" s="146" t="s">
        <v>88</v>
      </c>
      <c r="F70" s="24" t="s">
        <v>215</v>
      </c>
    </row>
    <row r="71" ht="10.5">
      <c r="D71" s="149" t="s">
        <v>216</v>
      </c>
    </row>
    <row r="72" ht="10.5">
      <c r="D72" s="149" t="s">
        <v>217</v>
      </c>
    </row>
    <row r="74" spans="3:6" ht="11.25">
      <c r="C74" s="19" t="s">
        <v>61</v>
      </c>
      <c r="F74" s="19" t="s">
        <v>190</v>
      </c>
    </row>
    <row r="76" spans="4:6" ht="10.5">
      <c r="D76" s="146" t="s">
        <v>61</v>
      </c>
      <c r="F76" s="24" t="s">
        <v>218</v>
      </c>
    </row>
    <row r="77" spans="4:6" ht="10.5">
      <c r="D77" s="149" t="s">
        <v>219</v>
      </c>
      <c r="F77" s="24" t="s">
        <v>219</v>
      </c>
    </row>
    <row r="78" spans="4:6" ht="10.5">
      <c r="D78" s="149" t="s">
        <v>220</v>
      </c>
      <c r="F78" s="24" t="s">
        <v>221</v>
      </c>
    </row>
    <row r="79" spans="4:6" ht="10.5">
      <c r="D79" s="149" t="s">
        <v>222</v>
      </c>
      <c r="F79" s="24" t="s">
        <v>223</v>
      </c>
    </row>
    <row r="80" spans="4:6" ht="10.5">
      <c r="D80" s="149" t="s">
        <v>224</v>
      </c>
      <c r="F80" s="24" t="s">
        <v>225</v>
      </c>
    </row>
    <row r="82" spans="3:6" ht="11.25">
      <c r="C82" s="19" t="s">
        <v>226</v>
      </c>
      <c r="F82" s="19" t="s">
        <v>190</v>
      </c>
    </row>
    <row r="84" spans="4:6" ht="10.5">
      <c r="D84" s="146" t="s">
        <v>226</v>
      </c>
      <c r="F84" s="24" t="s">
        <v>227</v>
      </c>
    </row>
    <row r="85" spans="4:6" ht="10.5">
      <c r="D85" s="149" t="s">
        <v>228</v>
      </c>
      <c r="F85" s="24" t="s">
        <v>229</v>
      </c>
    </row>
    <row r="86" spans="4:6" ht="10.5">
      <c r="D86" s="149" t="s">
        <v>230</v>
      </c>
      <c r="F86" s="24" t="s">
        <v>231</v>
      </c>
    </row>
    <row r="87" spans="4:6" ht="10.5">
      <c r="D87" s="149" t="s">
        <v>232</v>
      </c>
      <c r="F87" s="24" t="s">
        <v>233</v>
      </c>
    </row>
    <row r="88" spans="4:6" ht="10.5">
      <c r="D88" s="149" t="s">
        <v>234</v>
      </c>
      <c r="F88" s="24" t="s">
        <v>235</v>
      </c>
    </row>
    <row r="90" spans="3:6" ht="11.25">
      <c r="C90" s="19" t="s">
        <v>70</v>
      </c>
      <c r="F90" s="19" t="s">
        <v>190</v>
      </c>
    </row>
    <row r="92" spans="4:6" ht="10.5">
      <c r="D92" s="146" t="s">
        <v>70</v>
      </c>
      <c r="F92" s="24" t="s">
        <v>236</v>
      </c>
    </row>
    <row r="93" spans="4:6" ht="10.5">
      <c r="D93" s="147">
        <v>1</v>
      </c>
      <c r="F93" s="24" t="s">
        <v>237</v>
      </c>
    </row>
    <row r="94" spans="4:6" ht="10.5">
      <c r="D94" s="147">
        <v>2</v>
      </c>
      <c r="F94" s="24" t="s">
        <v>238</v>
      </c>
    </row>
    <row r="95" spans="4:6" ht="10.5">
      <c r="D95" s="147">
        <v>4</v>
      </c>
      <c r="F95" s="24" t="s">
        <v>239</v>
      </c>
    </row>
    <row r="96" spans="4:6" ht="10.5">
      <c r="D96" s="147">
        <v>12</v>
      </c>
      <c r="F96" s="24" t="s">
        <v>240</v>
      </c>
    </row>
    <row r="98" spans="3:6" ht="11.25">
      <c r="C98" s="19" t="s">
        <v>241</v>
      </c>
      <c r="F98" s="19" t="s">
        <v>190</v>
      </c>
    </row>
    <row r="100" ht="10.5">
      <c r="D100" s="146" t="s">
        <v>241</v>
      </c>
    </row>
    <row r="101" spans="4:6" ht="10.5">
      <c r="D101" s="147">
        <v>10</v>
      </c>
      <c r="F101" s="24" t="s">
        <v>242</v>
      </c>
    </row>
    <row r="102" spans="4:6" ht="10.5">
      <c r="D102" s="147">
        <v>100</v>
      </c>
      <c r="F102" s="24" t="s">
        <v>243</v>
      </c>
    </row>
    <row r="103" spans="4:6" ht="10.5">
      <c r="D103" s="147">
        <v>1000</v>
      </c>
      <c r="F103" s="24" t="s">
        <v>244</v>
      </c>
    </row>
    <row r="104" spans="4:6" ht="10.5">
      <c r="D104" s="147">
        <v>1000000</v>
      </c>
      <c r="F104" s="24" t="s">
        <v>245</v>
      </c>
    </row>
    <row r="105" spans="4:6" ht="10.5">
      <c r="D105" s="147">
        <v>1000000000</v>
      </c>
      <c r="F105" s="24" t="s">
        <v>246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40" tooltip="Go to Previous Sheet" display="HL_Sheet_Main_40"/>
  </hyperlinks>
  <printOptions/>
  <pageMargins left="0.3937007874015748" right="0.3937007874015748" top="0.5905511811023623" bottom="0.984251968503937" header="0" footer="0.31496062992125984"/>
  <pageSetup horizontalDpi="600" verticalDpi="600" orientation="landscape" paperSize="9" r:id="rId2"/>
  <headerFooter alignWithMargins="0">
    <oddFooter>&amp;L&amp;F
&amp;A
Printed: &amp;T on &amp;D&amp;CPage &amp;P of &amp;N&amp;R&amp;G</oddFooter>
  </headerFooter>
  <rowBreaks count="2" manualBreakCount="2">
    <brk id="43" min="1" max="6" man="1"/>
    <brk id="73" min="1" max="6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22</v>
      </c>
    </row>
    <row r="10" ht="16.5">
      <c r="C10" s="21" t="s">
        <v>23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26</v>
      </c>
    </row>
    <row r="18" ht="10.5">
      <c r="C18" s="24" t="s">
        <v>27</v>
      </c>
    </row>
    <row r="19" ht="10.5">
      <c r="C19" s="24" t="s">
        <v>28</v>
      </c>
    </row>
    <row r="20" ht="10.5">
      <c r="C20" s="24" t="s">
        <v>29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4" tooltip="Go to Previous Sheet" display="HL_Sheet_Main_24"/>
    <hyperlink ref="D13" location="HL_Sheet_Main_3" tooltip="Go to Next Sheet" display="HL_Sheet_Main_3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30</v>
      </c>
    </row>
    <row r="10" ht="16.5">
      <c r="C10" s="21" t="s">
        <v>31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32</v>
      </c>
    </row>
    <row r="18" ht="10.5">
      <c r="C18" s="24" t="s">
        <v>33</v>
      </c>
    </row>
    <row r="19" ht="10.5">
      <c r="C19" s="24" t="s">
        <v>34</v>
      </c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" tooltip="Go to Next Sheet" display="HL_Sheet_Main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2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2.33203125" defaultRowHeight="10.5"/>
  <cols>
    <col min="1" max="1" width="3.83203125" style="25" customWidth="1"/>
    <col min="2" max="2" width="2.33203125" style="25" customWidth="1"/>
    <col min="3" max="16384" width="2.33203125" style="25" customWidth="1"/>
  </cols>
  <sheetData>
    <row r="1" ht="18">
      <c r="B1" s="26" t="s">
        <v>35</v>
      </c>
    </row>
    <row r="2" ht="15">
      <c r="B2" s="27" t="str">
        <f>Model_Name</f>
        <v>SMA 13. Multiple Workbooks - Best Practice Model Example 2</v>
      </c>
    </row>
    <row r="3" spans="2:12" ht="10.5">
      <c r="B3" s="164" t="s">
        <v>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1" ht="12.75">
      <c r="A4" s="28" t="s">
        <v>10</v>
      </c>
      <c r="B4" s="165" t="s">
        <v>24</v>
      </c>
      <c r="C4" s="165"/>
      <c r="D4" s="166" t="s">
        <v>25</v>
      </c>
      <c r="E4" s="166"/>
      <c r="F4" s="167" t="s">
        <v>36</v>
      </c>
      <c r="G4" s="167"/>
      <c r="H4" s="167" t="s">
        <v>37</v>
      </c>
      <c r="I4" s="167"/>
      <c r="J4" s="167" t="s">
        <v>38</v>
      </c>
      <c r="K4" s="167"/>
    </row>
    <row r="5" ht="10.5"/>
    <row r="6" ht="10.5"/>
    <row r="7" spans="22:41" ht="10.5">
      <c r="V7" s="159" t="s">
        <v>39</v>
      </c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</row>
    <row r="8" spans="22:41" ht="10.5"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</row>
    <row r="9" spans="22:41" ht="10.5">
      <c r="V9" s="29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1"/>
    </row>
    <row r="10" spans="22:41" ht="10.5">
      <c r="V10" s="32"/>
      <c r="W10" s="33" t="s">
        <v>40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5"/>
    </row>
    <row r="11" spans="22:41" ht="10.5">
      <c r="V11" s="32"/>
      <c r="W11" s="36" t="s">
        <v>41</v>
      </c>
      <c r="X11" s="37" t="s">
        <v>42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5"/>
    </row>
    <row r="12" spans="22:41" ht="10.5">
      <c r="V12" s="32"/>
      <c r="W12" s="38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5"/>
    </row>
    <row r="13" spans="22:41" ht="10.5">
      <c r="V13" s="32"/>
      <c r="W13" s="33" t="s">
        <v>43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5"/>
    </row>
    <row r="14" spans="22:41" ht="10.5">
      <c r="V14" s="32"/>
      <c r="W14" s="36" t="s">
        <v>41</v>
      </c>
      <c r="X14" s="160" t="s">
        <v>44</v>
      </c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35"/>
    </row>
    <row r="15" spans="22:41" ht="10.5">
      <c r="V15" s="32"/>
      <c r="W15" s="34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35"/>
    </row>
    <row r="16" spans="22:41" ht="10.5"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</row>
    <row r="18" spans="33:34" ht="10.5">
      <c r="AG18" s="42" t="s">
        <v>41</v>
      </c>
      <c r="AH18" s="25" t="s">
        <v>45</v>
      </c>
    </row>
    <row r="19" spans="33:34" ht="10.5">
      <c r="AG19" s="42" t="s">
        <v>41</v>
      </c>
      <c r="AH19" s="25" t="s">
        <v>46</v>
      </c>
    </row>
    <row r="20" spans="33:34" ht="10.5">
      <c r="AG20" s="42" t="s">
        <v>41</v>
      </c>
      <c r="AH20" s="25" t="s">
        <v>47</v>
      </c>
    </row>
    <row r="23" spans="22:41" ht="10.5">
      <c r="V23" s="161" t="s">
        <v>48</v>
      </c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</row>
    <row r="24" spans="22:41" ht="10.5"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</row>
    <row r="25" spans="22:41" ht="10.5"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5"/>
    </row>
    <row r="26" spans="22:41" ht="10.5">
      <c r="V26" s="46"/>
      <c r="W26" s="47" t="s">
        <v>40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</row>
    <row r="27" spans="22:41" ht="10.5">
      <c r="V27" s="46"/>
      <c r="W27" s="50" t="s">
        <v>41</v>
      </c>
      <c r="X27" s="48" t="s">
        <v>49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9"/>
    </row>
    <row r="28" spans="22:41" ht="10.5">
      <c r="V28" s="46"/>
      <c r="W28" s="51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9"/>
    </row>
    <row r="29" spans="22:41" ht="10.5">
      <c r="V29" s="46"/>
      <c r="W29" s="47" t="s">
        <v>43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9"/>
    </row>
    <row r="30" spans="22:41" ht="10.5">
      <c r="V30" s="46"/>
      <c r="W30" s="50" t="s">
        <v>41</v>
      </c>
      <c r="X30" s="163" t="s">
        <v>50</v>
      </c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49"/>
    </row>
    <row r="31" spans="22:41" ht="10.5">
      <c r="V31" s="46"/>
      <c r="W31" s="48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49"/>
    </row>
    <row r="32" spans="22:41" ht="10.5">
      <c r="V32" s="52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4"/>
    </row>
  </sheetData>
  <sheetProtection/>
  <mergeCells count="10">
    <mergeCell ref="B3:L3"/>
    <mergeCell ref="B4:C4"/>
    <mergeCell ref="D4:E4"/>
    <mergeCell ref="F4:G4"/>
    <mergeCell ref="H4:I4"/>
    <mergeCell ref="J4:K4"/>
    <mergeCell ref="V7:AO8"/>
    <mergeCell ref="X14:AN15"/>
    <mergeCell ref="V23:AO24"/>
    <mergeCell ref="X30:AN31"/>
  </mergeCells>
  <hyperlinks>
    <hyperlink ref="B3" location="HL_Home" tooltip="Go to Table of Contents" display="HL_Home"/>
    <hyperlink ref="A4" location="$B$5" tooltip="Go to Top of Sheet" display="$B$5"/>
    <hyperlink ref="D4" location="HL_Sheet_Main_11" tooltip="Go to Next Sheet" display="HL_Sheet_Main_11"/>
    <hyperlink ref="B4" location="HL_Sheet_Main_3" tooltip="Go to Previous Sheet" display="HL_Sheet_Main_3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4"/>
  <headerFooter alignWithMargins="0">
    <oddFooter>&amp;L&amp;F
&amp;A
Printed: &amp;T on &amp;D&amp;CPage &amp;P of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9.3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51</v>
      </c>
    </row>
    <row r="10" ht="16.5">
      <c r="C10" s="21" t="s">
        <v>52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26</v>
      </c>
    </row>
    <row r="18" ht="10.5">
      <c r="C18" s="24" t="s">
        <v>53</v>
      </c>
    </row>
    <row r="19" ht="10.5">
      <c r="C19" s="24"/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" tooltip="Go to Previous Sheet" display="HL_Sheet_Main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54</v>
      </c>
    </row>
    <row r="10" ht="16.5">
      <c r="C10" s="21" t="s">
        <v>55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56</v>
      </c>
    </row>
    <row r="18" ht="10.5">
      <c r="C18" s="24" t="s">
        <v>57</v>
      </c>
    </row>
    <row r="19" ht="10.5">
      <c r="C19" s="24"/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1" tooltip="Go to Previous Sheet" display="HL_Sheet_Main_11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" sqref="A1"/>
    </sheetView>
  </sheetViews>
  <sheetFormatPr defaultColWidth="9.33203125" defaultRowHeight="10.5" outlineLevelRow="2"/>
  <cols>
    <col min="1" max="5" width="3.83203125" style="55" customWidth="1"/>
    <col min="6" max="16384" width="11.83203125" style="55" customWidth="1"/>
  </cols>
  <sheetData>
    <row r="1" ht="18">
      <c r="B1" s="56" t="s">
        <v>54</v>
      </c>
    </row>
    <row r="2" ht="15">
      <c r="B2" s="57" t="str">
        <f>Model_Name</f>
        <v>SMA 13. Multiple Workbooks - Best Practice Model Example 2</v>
      </c>
    </row>
    <row r="3" spans="2:6" ht="10.5">
      <c r="B3" s="179" t="s">
        <v>1</v>
      </c>
      <c r="C3" s="179"/>
      <c r="D3" s="179"/>
      <c r="E3" s="179"/>
      <c r="F3" s="179"/>
    </row>
    <row r="4" spans="1:6" ht="12.75">
      <c r="A4" s="58" t="s">
        <v>10</v>
      </c>
      <c r="B4" s="59" t="s">
        <v>24</v>
      </c>
      <c r="C4" s="60" t="s">
        <v>25</v>
      </c>
      <c r="D4" s="61" t="s">
        <v>36</v>
      </c>
      <c r="E4" s="61" t="s">
        <v>37</v>
      </c>
      <c r="F4" s="62" t="s">
        <v>38</v>
      </c>
    </row>
    <row r="5" ht="10.5"/>
    <row r="6" ht="10.5"/>
    <row r="7" ht="12.75">
      <c r="B7" s="63" t="s">
        <v>54</v>
      </c>
    </row>
    <row r="8" ht="10.5"/>
    <row r="9" ht="11.25">
      <c r="C9" s="64" t="s">
        <v>58</v>
      </c>
    </row>
    <row r="10" ht="10.5"/>
    <row r="11" spans="4:11" ht="10.5">
      <c r="D11" s="65" t="s">
        <v>59</v>
      </c>
      <c r="J11" s="180" t="s">
        <v>60</v>
      </c>
      <c r="K11" s="180"/>
    </row>
    <row r="12" spans="4:11" ht="10.5">
      <c r="D12" s="65" t="s">
        <v>61</v>
      </c>
      <c r="J12" s="174" t="str">
        <f>Annual</f>
        <v>Annual</v>
      </c>
      <c r="K12" s="174"/>
    </row>
    <row r="13" spans="4:11" ht="15.75" customHeight="1">
      <c r="D13" s="65" t="s">
        <v>62</v>
      </c>
      <c r="J13" s="66">
        <v>31</v>
      </c>
      <c r="K13" s="66">
        <v>12</v>
      </c>
    </row>
    <row r="14" spans="4:11" ht="10.5">
      <c r="D14" s="65" t="s">
        <v>63</v>
      </c>
      <c r="J14" s="150">
        <v>40179</v>
      </c>
      <c r="K14" s="171"/>
    </row>
    <row r="15" spans="4:11" ht="10.5">
      <c r="D15" s="65" t="s">
        <v>64</v>
      </c>
      <c r="J15" s="181">
        <v>8</v>
      </c>
      <c r="K15" s="181"/>
    </row>
    <row r="16" spans="4:11" ht="10.5" customHeight="1" hidden="1" outlineLevel="2">
      <c r="D16" s="65" t="s">
        <v>65</v>
      </c>
      <c r="J16" s="174" t="str">
        <f>INDEX(LU_Period_Type_Names,MATCH(TS_Periodicity,LU_Periodicity,0))</f>
        <v>Year</v>
      </c>
      <c r="K16" s="174"/>
    </row>
    <row r="17" spans="4:11" ht="10.5" customHeight="1" hidden="1" outlineLevel="2">
      <c r="D17" s="65" t="s">
        <v>66</v>
      </c>
      <c r="J17" s="182" t="str">
        <f>CHOOSE(MATCH(TS_Periodicity,LU_Periodicity,0),Yr_Name,"H","Q","M")</f>
        <v>Year</v>
      </c>
      <c r="K17" s="182"/>
    </row>
    <row r="18" spans="4:11" ht="10.5" customHeight="1" hidden="1" outlineLevel="2">
      <c r="D18" s="65" t="s">
        <v>67</v>
      </c>
      <c r="J18" s="182" t="b">
        <f>OR(AND(DD_TS_Fin_YE_Day&gt;=28,DD_TS_Fin_YE_Mth=2),DD_TS_Fin_YE_Day&gt;=DAY(EOMONTH(DATE(YEAR(TS_Start_Date),DD_TS_Fin_YE_Mth,1),0)))</f>
        <v>1</v>
      </c>
      <c r="K18" s="182"/>
    </row>
    <row r="19" spans="4:11" ht="10.5" customHeight="1" hidden="1" outlineLevel="2">
      <c r="D19" s="65" t="s">
        <v>68</v>
      </c>
      <c r="J19" s="168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68"/>
    </row>
    <row r="20" spans="4:11" ht="10.5" customHeight="1" hidden="1" outlineLevel="2">
      <c r="D20" s="65" t="s">
        <v>69</v>
      </c>
      <c r="J20" s="168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68"/>
    </row>
    <row r="21" spans="4:11" ht="10.5" customHeight="1" hidden="1" outlineLevel="2">
      <c r="D21" s="65" t="s">
        <v>70</v>
      </c>
      <c r="J21" s="173">
        <f>INDEX(LU_Pers_In_Yr,MATCH(TS_Periodicity,LU_Periodicity,0))</f>
        <v>1</v>
      </c>
      <c r="K21" s="173"/>
    </row>
    <row r="22" spans="4:11" ht="10.5" customHeight="1" hidden="1" outlineLevel="2">
      <c r="D22" s="65" t="s">
        <v>71</v>
      </c>
      <c r="J22" s="173">
        <f>Mths_In_Yr/TS_Pers_In_Yr</f>
        <v>12</v>
      </c>
      <c r="K22" s="173"/>
    </row>
    <row r="23" spans="4:11" ht="10.5" customHeight="1" hidden="1" outlineLevel="2">
      <c r="D23" s="65" t="s">
        <v>72</v>
      </c>
      <c r="J23" s="173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73"/>
    </row>
    <row r="24" spans="4:11" ht="10.5" customHeight="1" hidden="1" outlineLevel="2">
      <c r="D24" s="65" t="s">
        <v>73</v>
      </c>
      <c r="J24" s="168">
        <f>IF(TS_Mth_End,EOMONTH(EDATE(TS_Per_1_FY_Start_Date,(TS_Per_1_Number-1)*TS_Mths_In_Per-1),0)+1,EDATE(TS_Per_1_FY_Start_Date,(TS_Per_1_Number-1)*TS_Mths_In_Per))</f>
        <v>40179</v>
      </c>
      <c r="K24" s="168"/>
    </row>
    <row r="25" spans="4:11" ht="10.5" customHeight="1" hidden="1" outlineLevel="2">
      <c r="D25" s="65" t="s">
        <v>74</v>
      </c>
      <c r="J25" s="168">
        <f>IF(TS_Mth_End,EOMONTH(EDATE(TS_Per_1_FY_Start_Date,TS_Per_1_Number*TS_Mths_In_Per-1),0),EDATE(TS_Per_1_FY_Start_Date,TS_Per_1_Number*TS_Mths_In_Per)-1)</f>
        <v>40543</v>
      </c>
      <c r="K25" s="168"/>
    </row>
    <row r="26" spans="4:11" ht="15.75" customHeight="1" collapsed="1">
      <c r="D26" s="65" t="s">
        <v>75</v>
      </c>
      <c r="J26" s="175">
        <v>2</v>
      </c>
      <c r="K26" s="176"/>
    </row>
    <row r="27" spans="4:11" ht="10.5" customHeight="1" hidden="1" outlineLevel="2">
      <c r="D27" s="65" t="s">
        <v>76</v>
      </c>
      <c r="J27" s="174" t="str">
        <f>INDEX(LU_Denom,DD_TS_Denom)</f>
        <v>$Millions</v>
      </c>
      <c r="K27" s="174"/>
    </row>
    <row r="28" ht="10.5" collapsed="1"/>
    <row r="29" ht="11.25">
      <c r="C29" s="64" t="s">
        <v>77</v>
      </c>
    </row>
    <row r="30" ht="10.5"/>
    <row r="31" spans="4:11" ht="17.25" customHeight="1">
      <c r="D31" s="65" t="s">
        <v>78</v>
      </c>
      <c r="J31" s="175" t="b">
        <v>1</v>
      </c>
      <c r="K31" s="176"/>
    </row>
    <row r="32" spans="4:11" ht="10.5">
      <c r="D32" s="65" t="s">
        <v>79</v>
      </c>
      <c r="J32" s="169">
        <v>0</v>
      </c>
      <c r="K32" s="170"/>
    </row>
    <row r="33" spans="4:11" ht="10.5">
      <c r="D33" s="65" t="s">
        <v>80</v>
      </c>
      <c r="J33" s="169">
        <v>0</v>
      </c>
      <c r="K33" s="170"/>
    </row>
    <row r="34" spans="4:11" ht="10.5" customHeight="1" hidden="1" outlineLevel="2">
      <c r="D34" s="65" t="s">
        <v>81</v>
      </c>
      <c r="J34" s="177" t="s">
        <v>82</v>
      </c>
      <c r="K34" s="178"/>
    </row>
    <row r="35" spans="4:11" ht="10.5" customHeight="1" hidden="1" outlineLevel="2">
      <c r="D35" s="65" t="s">
        <v>83</v>
      </c>
      <c r="J35" s="177" t="s">
        <v>84</v>
      </c>
      <c r="K35" s="178"/>
    </row>
    <row r="36" spans="4:11" ht="10.5" customHeight="1" hidden="1" outlineLevel="2">
      <c r="D36" s="65" t="s">
        <v>85</v>
      </c>
      <c r="J36" s="177" t="s">
        <v>86</v>
      </c>
      <c r="K36" s="178"/>
    </row>
    <row r="37" ht="10.5" collapsed="1"/>
    <row r="38" ht="11.25">
      <c r="C38" s="64" t="s">
        <v>87</v>
      </c>
    </row>
    <row r="39" ht="10.5"/>
    <row r="40" spans="4:11" ht="15.75" customHeight="1">
      <c r="D40" s="65" t="s">
        <v>88</v>
      </c>
      <c r="J40" s="175">
        <v>1</v>
      </c>
      <c r="K40" s="176"/>
    </row>
    <row r="41" spans="4:11" ht="10.5">
      <c r="D41" s="65" t="s">
        <v>89</v>
      </c>
      <c r="J41" s="169">
        <v>3</v>
      </c>
      <c r="K41" s="170"/>
    </row>
    <row r="42" spans="4:11" ht="10.5">
      <c r="D42" s="65" t="s">
        <v>90</v>
      </c>
      <c r="J42" s="150">
        <v>41275</v>
      </c>
      <c r="K42" s="171"/>
    </row>
    <row r="43" ht="10.5" hidden="1" outlineLevel="2"/>
    <row r="44" ht="10.5" hidden="1" outlineLevel="2">
      <c r="D44" s="67" t="s">
        <v>91</v>
      </c>
    </row>
    <row r="45" ht="10.5" hidden="1" outlineLevel="2"/>
    <row r="46" spans="5:11" ht="10.5" customHeight="1" hidden="1" outlineLevel="2">
      <c r="E46" s="65" t="s">
        <v>92</v>
      </c>
      <c r="J46" s="168">
        <f>TS_Proj_Start_Date-1</f>
        <v>41274</v>
      </c>
      <c r="K46" s="168"/>
    </row>
    <row r="47" spans="5:11" ht="10.5" customHeight="1" hidden="1" outlineLevel="2">
      <c r="E47" s="65" t="s">
        <v>93</v>
      </c>
      <c r="J47" s="172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72"/>
    </row>
    <row r="48" spans="5:11" ht="10.5" customHeight="1" hidden="1" outlineLevel="2">
      <c r="E48" s="65" t="s">
        <v>94</v>
      </c>
      <c r="J48" s="173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73"/>
    </row>
    <row r="49" spans="5:11" ht="10.5" customHeight="1" hidden="1" outlineLevel="2">
      <c r="E49" s="65" t="s">
        <v>95</v>
      </c>
      <c r="J49" s="174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74"/>
    </row>
    <row r="50" ht="10.5" hidden="1" outlineLevel="2"/>
    <row r="51" ht="10.5" hidden="1" outlineLevel="2">
      <c r="D51" s="67" t="s">
        <v>96</v>
      </c>
    </row>
    <row r="52" ht="10.5" hidden="1" outlineLevel="2"/>
    <row r="53" spans="5:11" ht="10.5" customHeight="1" hidden="1" outlineLevel="2">
      <c r="E53" s="65" t="s">
        <v>97</v>
      </c>
      <c r="J53" s="168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168"/>
    </row>
    <row r="54" spans="5:11" ht="10.5" customHeight="1" hidden="1" outlineLevel="2">
      <c r="E54" s="65" t="s">
        <v>68</v>
      </c>
      <c r="J54" s="168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168"/>
    </row>
    <row r="55" spans="5:11" ht="10.5" customHeight="1" hidden="1" outlineLevel="2">
      <c r="E55" s="65" t="s">
        <v>69</v>
      </c>
      <c r="J55" s="168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168"/>
    </row>
    <row r="56" spans="5:11" ht="10.5" customHeight="1" hidden="1" outlineLevel="2">
      <c r="E56" s="65" t="s">
        <v>72</v>
      </c>
      <c r="J56" s="173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173"/>
    </row>
    <row r="57" spans="5:11" ht="10.5" customHeight="1" hidden="1" outlineLevel="2">
      <c r="E57" s="65" t="s">
        <v>73</v>
      </c>
      <c r="J57" s="168">
        <f>IF(TS_Mth_End,EOMONTH(EDATE(TS_Proj_Per_1_FY_Start_Date,(TS_Proj_Per_1_Number-1)*TS_Mths_In_Per-1),0)+1,EDATE(TS_Proj_Per_1_FY_Start_Date,(TS_Proj_Per_1_Number-1)*TS_Mths_In_Per))</f>
        <v>41275</v>
      </c>
      <c r="K57" s="168"/>
    </row>
    <row r="58" spans="5:11" ht="10.5" customHeight="1" hidden="1" outlineLevel="2">
      <c r="E58" s="65" t="s">
        <v>74</v>
      </c>
      <c r="J58" s="168">
        <f>IF(TS_Mth_End,EOMONTH(EDATE(TS_Proj_Per_1_FY_Start_Date,TS_Proj_Per_1_Number*TS_Mths_In_Per-1),0),EDATE(TS_Proj_Per_1_FY_Start_Date,TS_Proj_Per_1_Number*TS_Mths_In_Per)-1)</f>
        <v>41639</v>
      </c>
      <c r="K58" s="168"/>
    </row>
    <row r="59" ht="10.5" collapsed="1"/>
    <row r="60" ht="10.5">
      <c r="C60" s="67" t="s">
        <v>30</v>
      </c>
    </row>
    <row r="61" spans="3:4" ht="10.5">
      <c r="C61" s="68" t="s">
        <v>4</v>
      </c>
      <c r="D61" s="65" t="s">
        <v>98</v>
      </c>
    </row>
    <row r="62" spans="3:4" ht="10.5">
      <c r="C62" s="68" t="s">
        <v>4</v>
      </c>
      <c r="D62" s="65" t="s">
        <v>99</v>
      </c>
    </row>
    <row r="63" spans="3:4" ht="10.5">
      <c r="C63" s="68" t="s">
        <v>4</v>
      </c>
      <c r="D63" s="65" t="s">
        <v>100</v>
      </c>
    </row>
    <row r="64" spans="3:4" ht="10.5">
      <c r="C64" s="68" t="s">
        <v>4</v>
      </c>
      <c r="D64" s="69" t="s">
        <v>101</v>
      </c>
    </row>
    <row r="65" spans="3:4" ht="10.5">
      <c r="C65" s="68" t="s">
        <v>4</v>
      </c>
      <c r="D65" s="69" t="s">
        <v>102</v>
      </c>
    </row>
  </sheetData>
  <sheetProtection/>
  <mergeCells count="36">
    <mergeCell ref="J20:K20"/>
    <mergeCell ref="J21:K21"/>
    <mergeCell ref="J22:K22"/>
    <mergeCell ref="B3:F3"/>
    <mergeCell ref="J11:K11"/>
    <mergeCell ref="J12:K12"/>
    <mergeCell ref="J14:K14"/>
    <mergeCell ref="J15:K15"/>
    <mergeCell ref="J16:K16"/>
    <mergeCell ref="J17:K17"/>
    <mergeCell ref="J18:K18"/>
    <mergeCell ref="J19:K19"/>
    <mergeCell ref="J33:K33"/>
    <mergeCell ref="J34:K34"/>
    <mergeCell ref="J35:K35"/>
    <mergeCell ref="J36:K36"/>
    <mergeCell ref="J56:K56"/>
    <mergeCell ref="J57:K57"/>
    <mergeCell ref="J40:K40"/>
    <mergeCell ref="J23:K23"/>
    <mergeCell ref="J24:K24"/>
    <mergeCell ref="J25:K25"/>
    <mergeCell ref="J26:K26"/>
    <mergeCell ref="J27:K27"/>
    <mergeCell ref="J31:K31"/>
    <mergeCell ref="J32:K32"/>
    <mergeCell ref="J58:K58"/>
    <mergeCell ref="J41:K41"/>
    <mergeCell ref="J42:K42"/>
    <mergeCell ref="J46:K46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8" dxfId="33" stopIfTrue="1">
      <formula>NOT(J$31)</formula>
    </cfRule>
  </conditionalFormatting>
  <conditionalFormatting sqref="J33">
    <cfRule type="expression" priority="7" dxfId="33" stopIfTrue="1">
      <formula>NOT(J$31)</formula>
    </cfRule>
  </conditionalFormatting>
  <conditionalFormatting sqref="J34">
    <cfRule type="expression" priority="6" dxfId="33" stopIfTrue="1">
      <formula>NOT(J$31)</formula>
    </cfRule>
  </conditionalFormatting>
  <conditionalFormatting sqref="J35">
    <cfRule type="expression" priority="5" dxfId="33" stopIfTrue="1">
      <formula>NOT(J$31)</formula>
    </cfRule>
  </conditionalFormatting>
  <conditionalFormatting sqref="J36">
    <cfRule type="expression" priority="4" dxfId="33" stopIfTrue="1">
      <formula>NOT(J$31)</formula>
    </cfRule>
  </conditionalFormatting>
  <conditionalFormatting sqref="J41">
    <cfRule type="expression" priority="3" dxfId="33" stopIfTrue="1">
      <formula>DD_TS_Data_Term_Basis&lt;&gt;1</formula>
    </cfRule>
  </conditionalFormatting>
  <conditionalFormatting sqref="J42">
    <cfRule type="expression" priority="1" dxfId="33" stopIfTrue="1">
      <formula>DD_TS_Data_Term_Basis&lt;&gt;2</formula>
    </cfRule>
    <cfRule type="cellIs" priority="2" dxfId="20" operator="lessThan" stopIfTrue="1">
      <formula>TS_Start_Date</formula>
    </cfRule>
  </conditionalFormatting>
  <dataValidations count="9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 J32:J33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4" tooltip="Go to Previous Sheet" display="HL_Sheet_Main_4"/>
    <hyperlink ref="C4" location="HL_Sheet_Main_5" tooltip="Go to Next Sheet" display="HL_Sheet_Main_5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4"/>
  <headerFooter alignWithMargins="0">
    <oddFooter>&amp;L&amp;F
&amp;A
Printed: &amp;T on &amp;D&amp;CPage &amp;P of &amp;N&amp;R&amp;G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1" max="2" width="11.83203125" style="2" customWidth="1"/>
    <col min="3" max="6" width="3.83203125" style="2" customWidth="1"/>
    <col min="7" max="16384" width="11.83203125" style="2" customWidth="1"/>
  </cols>
  <sheetData>
    <row r="9" ht="18">
      <c r="C9" s="1" t="s">
        <v>103</v>
      </c>
    </row>
    <row r="10" ht="16.5">
      <c r="C10" s="21" t="s">
        <v>104</v>
      </c>
    </row>
    <row r="11" ht="15">
      <c r="C11" s="8" t="str">
        <f>Model_Name</f>
        <v>SMA 13. Multiple Workbooks - Best Practice Model Example 2</v>
      </c>
    </row>
    <row r="12" spans="3:7" ht="10.5">
      <c r="C12" s="151" t="s">
        <v>1</v>
      </c>
      <c r="D12" s="151"/>
      <c r="E12" s="151"/>
      <c r="F12" s="151"/>
      <c r="G12" s="151"/>
    </row>
    <row r="13" spans="3:4" ht="12.75">
      <c r="C13" s="22" t="s">
        <v>24</v>
      </c>
      <c r="D13" s="23" t="s">
        <v>25</v>
      </c>
    </row>
    <row r="17" ht="10.5">
      <c r="C17" s="4" t="s">
        <v>56</v>
      </c>
    </row>
    <row r="18" ht="10.5">
      <c r="C18" s="24" t="s">
        <v>105</v>
      </c>
    </row>
    <row r="19" ht="10.5">
      <c r="C19" s="24"/>
    </row>
    <row r="20" ht="10.5">
      <c r="C20" s="24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300" verticalDpi="300" orientation="landscape" paperSize="9" r:id="rId2"/>
  <headerFooter alignWithMargins="0">
    <oddFooter>&amp;L&amp;F
&amp;A
Printed: &amp;T on &amp;D&amp;CPage &amp;P of &amp;N&amp;R&amp;G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dcterms:created xsi:type="dcterms:W3CDTF">2010-10-15T03:41:26Z</dcterms:created>
  <dcterms:modified xsi:type="dcterms:W3CDTF">2010-11-30T01:13:27Z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